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9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0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tables/table1.xml" ContentType="application/vnd.openxmlformats-officedocument.spreadsheetml.table+xml"/>
  <Override PartName="/xl/drawings/drawing21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2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3.xml" ContentType="application/vnd.openxmlformats-officedocument.drawing+xml"/>
  <Override PartName="/xl/charts/chart61.xml" ContentType="application/vnd.openxmlformats-officedocument.drawingml.chart+xml"/>
  <Override PartName="/xl/drawings/drawing2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5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6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27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28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29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30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31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32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33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34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35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36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37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38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drawings/drawing39.xml" ContentType="application/vnd.openxmlformats-officedocument.drawing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40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drawings/drawing41.xml" ContentType="application/vnd.openxmlformats-officedocument.drawing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42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10" yWindow="165" windowWidth="8865" windowHeight="12120" tabRatio="961" activeTab="6"/>
  </bookViews>
  <sheets>
    <sheet name="BDD" sheetId="21" r:id="rId1"/>
    <sheet name="Budget-Réel " sheetId="2" r:id="rId2"/>
    <sheet name="Graph VFLI" sheetId="13" r:id="rId3"/>
    <sheet name="Graph OFI" sheetId="14" r:id="rId4"/>
    <sheet name="Graph FRET" sheetId="4" r:id="rId5"/>
    <sheet name="Graph GEOPARTS" sheetId="15" r:id="rId6"/>
    <sheet name="BDD-TDB" sheetId="53" r:id="rId7"/>
    <sheet name="TDB" sheetId="52" r:id="rId8"/>
    <sheet name="TDB (2)" sheetId="54" r:id="rId9"/>
    <sheet name="Accostage" sheetId="10" r:id="rId10"/>
    <sheet name="Graph Accostage" sheetId="12" r:id="rId11"/>
    <sheet name="CTR" sheetId="3" r:id="rId12"/>
    <sheet name="CTR par bassin" sheetId="18" r:id="rId13"/>
    <sheet name="Vol. Carrières" sheetId="5" r:id="rId14"/>
    <sheet name="Vol. Ballast Tot. " sheetId="24" r:id="rId15"/>
    <sheet name="Graph Vol.Ballast Tot." sheetId="51" r:id="rId16"/>
    <sheet name="Variation N-1" sheetId="48" r:id="rId17"/>
    <sheet name="Variat. Tot. + Bassins" sheetId="50" r:id="rId18"/>
    <sheet name="Graph. Variation" sheetId="49" r:id="rId19"/>
    <sheet name="Vol. par Bassin" sheetId="16" r:id="rId20"/>
    <sheet name="Bassin SUD" sheetId="44" r:id="rId21"/>
    <sheet name="Bassin NORD EST" sheetId="43" r:id="rId22"/>
    <sheet name="Bassin NORD OUEST" sheetId="42" r:id="rId23"/>
    <sheet name="Bagnac" sheetId="26" r:id="rId24"/>
    <sheet name="Courzieu" sheetId="27" r:id="rId25"/>
    <sheet name="Cusset" sheetId="28" r:id="rId26"/>
    <sheet name="EP Roy" sheetId="38" r:id="rId27"/>
    <sheet name="Mâcon" sheetId="29" r:id="rId28"/>
    <sheet name="Montrond" sheetId="30" r:id="rId29"/>
    <sheet name="Thouars" sheetId="31" r:id="rId30"/>
    <sheet name="Verneuil" sheetId="32" r:id="rId31"/>
    <sheet name="Epiry" sheetId="33" r:id="rId32"/>
    <sheet name="Giromagny" sheetId="34" r:id="rId33"/>
    <sheet name="Luzy" sheetId="35" r:id="rId34"/>
    <sheet name="Raon" sheetId="36" r:id="rId35"/>
    <sheet name="Vauvelle" sheetId="37" r:id="rId36"/>
    <sheet name="Lessines-Quenast" sheetId="39" r:id="rId37"/>
    <sheet name="Montabard" sheetId="40" r:id="rId38"/>
    <sheet name="Surdon" sheetId="41" r:id="rId39"/>
    <sheet name="RequeteExportFluxMatiereParAnne" sheetId="20" r:id="rId40"/>
  </sheets>
  <externalReferences>
    <externalReference r:id="rId41"/>
    <externalReference r:id="rId42"/>
    <externalReference r:id="rId43"/>
    <externalReference r:id="rId44"/>
    <externalReference r:id="rId45"/>
  </externalReferences>
  <definedNames>
    <definedName name="_xlnm._FilterDatabase" localSheetId="9" hidden="1">Accostage!$A$4:$U$10</definedName>
    <definedName name="_xlnm._FilterDatabase" localSheetId="0" hidden="1">BDD!$A$1:$AA$388</definedName>
    <definedName name="_xlnm._FilterDatabase" localSheetId="39" hidden="1">RequeteExportFluxMatiereParAnne!$A$2:$BZ$495</definedName>
    <definedName name="_xlnm._FilterDatabase" localSheetId="13" hidden="1">'Vol. Carrières'!$A$3:$A$196</definedName>
    <definedName name="RAON">'Vol. Carrières'!$B$5:$P$16</definedName>
    <definedName name="_xlnm.Print_Area" localSheetId="0">BDD!$F$2:$P$48</definedName>
    <definedName name="_xlnm.Print_Area" localSheetId="14">'Vol. Ballast Tot. '!$A$15:$N$106</definedName>
  </definedNames>
  <calcPr calcId="145621"/>
</workbook>
</file>

<file path=xl/calcChain.xml><?xml version="1.0" encoding="utf-8"?>
<calcChain xmlns="http://schemas.openxmlformats.org/spreadsheetml/2006/main">
  <c r="D37" i="50" l="1"/>
  <c r="E37" i="50"/>
  <c r="F37" i="50"/>
  <c r="G37" i="50"/>
  <c r="H37" i="50"/>
  <c r="I37" i="50"/>
  <c r="J37" i="50"/>
  <c r="K37" i="50"/>
  <c r="L37" i="50"/>
  <c r="M37" i="50"/>
  <c r="N37" i="50"/>
  <c r="C37" i="50"/>
  <c r="Q19" i="53" l="1"/>
  <c r="M19" i="53"/>
  <c r="I19" i="53"/>
  <c r="Q10" i="53"/>
  <c r="P10" i="53"/>
  <c r="M10" i="53"/>
  <c r="L10" i="53"/>
  <c r="I10" i="53"/>
  <c r="Q18" i="53"/>
  <c r="Q17" i="53"/>
  <c r="M18" i="53"/>
  <c r="M17" i="53"/>
  <c r="I18" i="53"/>
  <c r="I17" i="53"/>
  <c r="Q9" i="53"/>
  <c r="Q8" i="53"/>
  <c r="P9" i="53"/>
  <c r="P8" i="53"/>
  <c r="M9" i="53"/>
  <c r="M8" i="53"/>
  <c r="L9" i="53"/>
  <c r="L8" i="53"/>
  <c r="I9" i="53"/>
  <c r="I8" i="53"/>
  <c r="L6" i="16" l="1"/>
  <c r="M6" i="16"/>
  <c r="N6" i="16"/>
  <c r="L7" i="16"/>
  <c r="M7" i="16"/>
  <c r="N7" i="16"/>
  <c r="J31" i="16" a="1"/>
  <c r="J31" i="16" s="1"/>
  <c r="J30" i="16" a="1"/>
  <c r="J30" i="16" s="1"/>
  <c r="I31" i="16" a="1"/>
  <c r="I31" i="16" s="1"/>
  <c r="I30" i="16" a="1"/>
  <c r="I30" i="16" s="1"/>
  <c r="H30" i="16" a="1"/>
  <c r="H30" i="16" s="1"/>
  <c r="H8" i="53" s="1"/>
  <c r="H31" i="16" a="1"/>
  <c r="H31" i="16" s="1"/>
  <c r="H9" i="53" s="1"/>
  <c r="O31" i="16" a="1"/>
  <c r="O31" i="16" s="1"/>
  <c r="O30" i="16" a="1"/>
  <c r="O30" i="16" s="1"/>
  <c r="N31" i="16" a="1"/>
  <c r="N31" i="16" s="1"/>
  <c r="N30" i="16" a="1"/>
  <c r="N30" i="16" s="1"/>
  <c r="M31" i="16" a="1"/>
  <c r="M31" i="16" s="1"/>
  <c r="M30" i="16" a="1"/>
  <c r="M30" i="16" s="1"/>
  <c r="D31" i="16" a="1"/>
  <c r="E31" i="16" a="1"/>
  <c r="C31" i="16" a="1"/>
  <c r="E30" i="16" a="1"/>
  <c r="C30" i="16" a="1"/>
  <c r="D30" i="16" a="1"/>
  <c r="H10" i="53" l="1"/>
  <c r="E31" i="16"/>
  <c r="P18" i="53" s="1"/>
  <c r="D31" i="16"/>
  <c r="L18" i="53" s="1"/>
  <c r="C31" i="16"/>
  <c r="H18" i="53" s="1"/>
  <c r="E30" i="16"/>
  <c r="P17" i="53" s="1"/>
  <c r="D30" i="16"/>
  <c r="L17" i="53" s="1"/>
  <c r="C30" i="16"/>
  <c r="H17" i="53" s="1"/>
  <c r="D9" i="2"/>
  <c r="P19" i="53" l="1"/>
  <c r="L19" i="53"/>
  <c r="H19" i="53"/>
  <c r="AC1" i="54" l="1"/>
  <c r="AC1" i="52"/>
  <c r="D28" i="3" l="1"/>
  <c r="C28" i="3"/>
  <c r="B28" i="3"/>
  <c r="D27" i="3"/>
  <c r="C27" i="3"/>
  <c r="B27" i="3"/>
  <c r="D26" i="3"/>
  <c r="C26" i="3"/>
  <c r="B26" i="3"/>
  <c r="I10" i="48" l="1"/>
  <c r="J10" i="48"/>
  <c r="K10" i="48"/>
  <c r="L10" i="48"/>
  <c r="M10" i="48"/>
  <c r="N10" i="48"/>
  <c r="O10" i="48"/>
  <c r="P10" i="48"/>
  <c r="F10" i="48"/>
  <c r="F83" i="48" l="1"/>
  <c r="G83" i="48"/>
  <c r="H83" i="48"/>
  <c r="I83" i="48"/>
  <c r="J83" i="48"/>
  <c r="K83" i="48"/>
  <c r="L83" i="48"/>
  <c r="M83" i="48"/>
  <c r="N83" i="48"/>
  <c r="O83" i="48"/>
  <c r="P83" i="48"/>
  <c r="E83" i="48"/>
  <c r="F81" i="48"/>
  <c r="G81" i="48"/>
  <c r="H81" i="48"/>
  <c r="I81" i="48"/>
  <c r="J81" i="48"/>
  <c r="K81" i="48"/>
  <c r="L81" i="48"/>
  <c r="M81" i="48"/>
  <c r="N81" i="48"/>
  <c r="O81" i="48"/>
  <c r="P81" i="48"/>
  <c r="E81" i="48"/>
  <c r="F78" i="48"/>
  <c r="G78" i="48"/>
  <c r="H78" i="48"/>
  <c r="I78" i="48"/>
  <c r="J78" i="48"/>
  <c r="K78" i="48"/>
  <c r="L78" i="48"/>
  <c r="M78" i="48"/>
  <c r="N78" i="48"/>
  <c r="O78" i="48"/>
  <c r="P78" i="48"/>
  <c r="E78" i="48"/>
  <c r="F76" i="48"/>
  <c r="G76" i="48"/>
  <c r="H76" i="48"/>
  <c r="I76" i="48"/>
  <c r="J76" i="48"/>
  <c r="K76" i="48"/>
  <c r="L76" i="48"/>
  <c r="M76" i="48"/>
  <c r="N76" i="48"/>
  <c r="O76" i="48"/>
  <c r="P76" i="48"/>
  <c r="E76" i="48"/>
  <c r="F73" i="48"/>
  <c r="G73" i="48"/>
  <c r="H73" i="48"/>
  <c r="I73" i="48"/>
  <c r="J73" i="48"/>
  <c r="K73" i="48"/>
  <c r="L73" i="48"/>
  <c r="M73" i="48"/>
  <c r="N73" i="48"/>
  <c r="O73" i="48"/>
  <c r="P73" i="48"/>
  <c r="E73" i="48"/>
  <c r="F71" i="48"/>
  <c r="G71" i="48"/>
  <c r="H71" i="48"/>
  <c r="I71" i="48"/>
  <c r="J71" i="48"/>
  <c r="K71" i="48"/>
  <c r="L71" i="48"/>
  <c r="M71" i="48"/>
  <c r="N71" i="48"/>
  <c r="O71" i="48"/>
  <c r="P71" i="48"/>
  <c r="E71" i="48"/>
  <c r="F68" i="48"/>
  <c r="G68" i="48"/>
  <c r="H68" i="48"/>
  <c r="I68" i="48"/>
  <c r="J68" i="48"/>
  <c r="K68" i="48"/>
  <c r="L68" i="48"/>
  <c r="M68" i="48"/>
  <c r="N68" i="48"/>
  <c r="O68" i="48"/>
  <c r="P68" i="48"/>
  <c r="E68" i="48"/>
  <c r="F66" i="48"/>
  <c r="G66" i="48"/>
  <c r="H66" i="48"/>
  <c r="I66" i="48"/>
  <c r="J66" i="48"/>
  <c r="K66" i="48"/>
  <c r="L66" i="48"/>
  <c r="M66" i="48"/>
  <c r="N66" i="48"/>
  <c r="O66" i="48"/>
  <c r="P66" i="48"/>
  <c r="E66" i="48"/>
  <c r="F72" i="48"/>
  <c r="E72" i="48"/>
  <c r="F70" i="48"/>
  <c r="H70" i="48"/>
  <c r="I70" i="48"/>
  <c r="J70" i="48"/>
  <c r="K70" i="48"/>
  <c r="L70" i="48"/>
  <c r="M70" i="48"/>
  <c r="N70" i="48"/>
  <c r="O70" i="48"/>
  <c r="P70" i="48"/>
  <c r="E70" i="48"/>
  <c r="F82" i="48"/>
  <c r="E82" i="48"/>
  <c r="P80" i="48"/>
  <c r="O80" i="48"/>
  <c r="N80" i="48"/>
  <c r="M80" i="48"/>
  <c r="L80" i="48"/>
  <c r="K80" i="48"/>
  <c r="J80" i="48"/>
  <c r="I80" i="48"/>
  <c r="H80" i="48"/>
  <c r="F80" i="48"/>
  <c r="E80" i="48"/>
  <c r="P75" i="48"/>
  <c r="O75" i="48"/>
  <c r="N75" i="48"/>
  <c r="M75" i="48"/>
  <c r="L75" i="48"/>
  <c r="K75" i="48"/>
  <c r="J75" i="48"/>
  <c r="I75" i="48"/>
  <c r="H75" i="48"/>
  <c r="F67" i="48"/>
  <c r="E67" i="48"/>
  <c r="P65" i="48"/>
  <c r="O65" i="48"/>
  <c r="N65" i="48"/>
  <c r="M65" i="48"/>
  <c r="L65" i="48"/>
  <c r="K65" i="48"/>
  <c r="J65" i="48"/>
  <c r="I65" i="48"/>
  <c r="H65" i="48"/>
  <c r="F65" i="48"/>
  <c r="E65" i="48"/>
  <c r="F63" i="48"/>
  <c r="G63" i="48"/>
  <c r="H63" i="48"/>
  <c r="I63" i="48"/>
  <c r="J63" i="48"/>
  <c r="K63" i="48"/>
  <c r="L63" i="48"/>
  <c r="M63" i="48"/>
  <c r="N63" i="48"/>
  <c r="O63" i="48"/>
  <c r="P63" i="48"/>
  <c r="E63" i="48"/>
  <c r="F61" i="48"/>
  <c r="G61" i="48"/>
  <c r="H61" i="48"/>
  <c r="I61" i="48"/>
  <c r="J61" i="48"/>
  <c r="K61" i="48"/>
  <c r="L61" i="48"/>
  <c r="M61" i="48"/>
  <c r="N61" i="48"/>
  <c r="O61" i="48"/>
  <c r="P61" i="48"/>
  <c r="E61" i="48"/>
  <c r="F58" i="48"/>
  <c r="G58" i="48"/>
  <c r="H58" i="48"/>
  <c r="I58" i="48"/>
  <c r="J58" i="48"/>
  <c r="K58" i="48"/>
  <c r="L58" i="48"/>
  <c r="M58" i="48"/>
  <c r="N58" i="48"/>
  <c r="O58" i="48"/>
  <c r="P58" i="48"/>
  <c r="E58" i="48"/>
  <c r="F56" i="48"/>
  <c r="G56" i="48"/>
  <c r="H56" i="48"/>
  <c r="I56" i="48"/>
  <c r="J56" i="48"/>
  <c r="K56" i="48"/>
  <c r="L56" i="48"/>
  <c r="M56" i="48"/>
  <c r="N56" i="48"/>
  <c r="O56" i="48"/>
  <c r="P56" i="48"/>
  <c r="E56" i="48"/>
  <c r="F48" i="48"/>
  <c r="F43" i="48"/>
  <c r="F38" i="48"/>
  <c r="F13" i="48"/>
  <c r="F8" i="48"/>
  <c r="F53" i="48"/>
  <c r="E53" i="48"/>
  <c r="F51" i="48"/>
  <c r="G51" i="48"/>
  <c r="H51" i="48"/>
  <c r="I51" i="48"/>
  <c r="J51" i="48"/>
  <c r="K51" i="48"/>
  <c r="L51" i="48"/>
  <c r="M51" i="48"/>
  <c r="N51" i="48"/>
  <c r="O51" i="48"/>
  <c r="P51" i="48"/>
  <c r="E51" i="48"/>
  <c r="G48" i="48"/>
  <c r="E48" i="48"/>
  <c r="F46" i="48"/>
  <c r="G46" i="48"/>
  <c r="H46" i="48"/>
  <c r="I46" i="48"/>
  <c r="J46" i="48"/>
  <c r="K46" i="48"/>
  <c r="L46" i="48"/>
  <c r="M46" i="48"/>
  <c r="N46" i="48"/>
  <c r="O46" i="48"/>
  <c r="P46" i="48"/>
  <c r="E46" i="48"/>
  <c r="E43" i="48"/>
  <c r="F41" i="48"/>
  <c r="G41" i="48"/>
  <c r="H41" i="48"/>
  <c r="I41" i="48"/>
  <c r="J41" i="48"/>
  <c r="K41" i="48"/>
  <c r="L41" i="48"/>
  <c r="M41" i="48"/>
  <c r="N41" i="48"/>
  <c r="O41" i="48"/>
  <c r="P41" i="48"/>
  <c r="E41" i="48"/>
  <c r="E38" i="48"/>
  <c r="F36" i="48"/>
  <c r="G36" i="48"/>
  <c r="H36" i="48"/>
  <c r="I36" i="48"/>
  <c r="J36" i="48"/>
  <c r="K36" i="48"/>
  <c r="L36" i="48"/>
  <c r="M36" i="48"/>
  <c r="N36" i="48"/>
  <c r="O36" i="48"/>
  <c r="P36" i="48"/>
  <c r="E36" i="48"/>
  <c r="F33" i="48"/>
  <c r="G33" i="48"/>
  <c r="E33" i="48"/>
  <c r="F31" i="48"/>
  <c r="G31" i="48"/>
  <c r="H31" i="48"/>
  <c r="I31" i="48"/>
  <c r="J31" i="48"/>
  <c r="K31" i="48"/>
  <c r="L31" i="48"/>
  <c r="M31" i="48"/>
  <c r="N31" i="48"/>
  <c r="O31" i="48"/>
  <c r="P31" i="48"/>
  <c r="E31" i="48"/>
  <c r="F28" i="48"/>
  <c r="G28" i="48"/>
  <c r="E28" i="48"/>
  <c r="F26" i="48"/>
  <c r="G26" i="48"/>
  <c r="H26" i="48"/>
  <c r="I26" i="48"/>
  <c r="J26" i="48"/>
  <c r="K26" i="48"/>
  <c r="L26" i="48"/>
  <c r="M26" i="48"/>
  <c r="N26" i="48"/>
  <c r="O26" i="48"/>
  <c r="P26" i="48"/>
  <c r="E26" i="48"/>
  <c r="F23" i="48"/>
  <c r="G23" i="48"/>
  <c r="H23" i="48"/>
  <c r="E23" i="48"/>
  <c r="F21" i="48"/>
  <c r="G21" i="48"/>
  <c r="H21" i="48"/>
  <c r="I21" i="48"/>
  <c r="J21" i="48"/>
  <c r="K21" i="48"/>
  <c r="L21" i="48"/>
  <c r="M21" i="48"/>
  <c r="N21" i="48"/>
  <c r="O21" i="48"/>
  <c r="P21" i="48"/>
  <c r="E21" i="48"/>
  <c r="F18" i="48"/>
  <c r="G18" i="48"/>
  <c r="E18" i="48"/>
  <c r="F16" i="48"/>
  <c r="G16" i="48"/>
  <c r="H16" i="48"/>
  <c r="I16" i="48"/>
  <c r="J16" i="48"/>
  <c r="K16" i="48"/>
  <c r="L16" i="48"/>
  <c r="M16" i="48"/>
  <c r="N16" i="48"/>
  <c r="O16" i="48"/>
  <c r="P16" i="48"/>
  <c r="E16" i="48"/>
  <c r="E13" i="48"/>
  <c r="F11" i="48"/>
  <c r="G11" i="48"/>
  <c r="H11" i="48"/>
  <c r="I11" i="48"/>
  <c r="J11" i="48"/>
  <c r="K11" i="48"/>
  <c r="L11" i="48"/>
  <c r="M11" i="48"/>
  <c r="N11" i="48"/>
  <c r="O11" i="48"/>
  <c r="P11" i="48"/>
  <c r="E11" i="48"/>
  <c r="E8" i="48"/>
  <c r="C27" i="50" l="1"/>
  <c r="M27" i="50"/>
  <c r="K27" i="50"/>
  <c r="I27" i="50"/>
  <c r="G27" i="50"/>
  <c r="E27" i="50"/>
  <c r="C30" i="50"/>
  <c r="D30" i="50"/>
  <c r="N27" i="50"/>
  <c r="L27" i="50"/>
  <c r="J27" i="50"/>
  <c r="H27" i="50"/>
  <c r="F27" i="50"/>
  <c r="D27" i="50"/>
  <c r="C20" i="50"/>
  <c r="N36" i="50"/>
  <c r="N38" i="50" s="1"/>
  <c r="L36" i="50"/>
  <c r="L38" i="50" s="1"/>
  <c r="J36" i="50"/>
  <c r="J38" i="50" s="1"/>
  <c r="H36" i="50"/>
  <c r="H38" i="50" s="1"/>
  <c r="F36" i="50"/>
  <c r="F38" i="50" s="1"/>
  <c r="C40" i="50"/>
  <c r="M40" i="50"/>
  <c r="K40" i="50"/>
  <c r="I40" i="50"/>
  <c r="G40" i="50"/>
  <c r="E40" i="50"/>
  <c r="D20" i="50"/>
  <c r="M36" i="50"/>
  <c r="M38" i="50" s="1"/>
  <c r="K36" i="50"/>
  <c r="K38" i="50" s="1"/>
  <c r="I36" i="50"/>
  <c r="I38" i="50" s="1"/>
  <c r="G36" i="50"/>
  <c r="G38" i="50" s="1"/>
  <c r="N40" i="50"/>
  <c r="L40" i="50"/>
  <c r="J40" i="50"/>
  <c r="H40" i="50"/>
  <c r="F40" i="50"/>
  <c r="D40" i="50"/>
  <c r="C8" i="50"/>
  <c r="D8" i="50"/>
  <c r="Q11" i="48"/>
  <c r="Q21" i="48"/>
  <c r="Q26" i="48"/>
  <c r="Q36" i="48"/>
  <c r="Q46" i="48"/>
  <c r="Q51" i="48"/>
  <c r="Q16" i="48"/>
  <c r="Q31" i="48"/>
  <c r="Q41" i="48"/>
  <c r="Q56" i="48"/>
  <c r="Q61" i="48"/>
  <c r="Q66" i="48"/>
  <c r="Q71" i="48"/>
  <c r="Q76" i="48"/>
  <c r="Q81" i="48"/>
  <c r="H53" i="48"/>
  <c r="G53" i="48"/>
  <c r="E30" i="50" s="1"/>
  <c r="I48" i="48"/>
  <c r="H48" i="48"/>
  <c r="H43" i="48"/>
  <c r="G43" i="48"/>
  <c r="H38" i="48"/>
  <c r="G38" i="48"/>
  <c r="H33" i="48"/>
  <c r="I28" i="48"/>
  <c r="H28" i="48"/>
  <c r="I23" i="48"/>
  <c r="H18" i="48"/>
  <c r="G13" i="48"/>
  <c r="G8" i="48"/>
  <c r="F30" i="50" l="1"/>
  <c r="E8" i="50"/>
  <c r="E20" i="50"/>
  <c r="I53" i="48"/>
  <c r="G30" i="50" s="1"/>
  <c r="J48" i="48"/>
  <c r="I43" i="48"/>
  <c r="I38" i="48"/>
  <c r="I33" i="48"/>
  <c r="J28" i="48"/>
  <c r="J23" i="48"/>
  <c r="I18" i="48"/>
  <c r="J53" i="48" l="1"/>
  <c r="H30" i="50" s="1"/>
  <c r="K48" i="48"/>
  <c r="J43" i="48"/>
  <c r="J38" i="48"/>
  <c r="J33" i="48"/>
  <c r="K28" i="48"/>
  <c r="K23" i="48"/>
  <c r="J18" i="48"/>
  <c r="H13" i="48"/>
  <c r="H8" i="48"/>
  <c r="F20" i="50" l="1"/>
  <c r="F8" i="50"/>
  <c r="K53" i="48"/>
  <c r="I30" i="50" s="1"/>
  <c r="L48" i="48"/>
  <c r="K43" i="48"/>
  <c r="K38" i="48"/>
  <c r="K33" i="48"/>
  <c r="L28" i="48"/>
  <c r="L23" i="48"/>
  <c r="K18" i="48"/>
  <c r="I13" i="48"/>
  <c r="I8" i="48"/>
  <c r="G8" i="50" l="1"/>
  <c r="G20" i="50"/>
  <c r="L53" i="48"/>
  <c r="J30" i="50" s="1"/>
  <c r="M48" i="48"/>
  <c r="L43" i="48"/>
  <c r="L38" i="48"/>
  <c r="L33" i="48"/>
  <c r="M28" i="48"/>
  <c r="M23" i="48"/>
  <c r="L18" i="48"/>
  <c r="J13" i="48"/>
  <c r="J8" i="48"/>
  <c r="P6" i="48"/>
  <c r="N17" i="50" s="1"/>
  <c r="O6" i="48"/>
  <c r="M17" i="50" s="1"/>
  <c r="N6" i="48"/>
  <c r="L17" i="50" s="1"/>
  <c r="M6" i="48"/>
  <c r="L6" i="48"/>
  <c r="J17" i="50" s="1"/>
  <c r="K6" i="48"/>
  <c r="I17" i="50" s="1"/>
  <c r="J6" i="48"/>
  <c r="H17" i="50" s="1"/>
  <c r="I6" i="48"/>
  <c r="H6" i="48"/>
  <c r="F17" i="50" s="1"/>
  <c r="G6" i="48"/>
  <c r="F6" i="48"/>
  <c r="E6" i="48"/>
  <c r="C5" i="50" l="1"/>
  <c r="C17" i="50"/>
  <c r="E5" i="50"/>
  <c r="E17" i="50"/>
  <c r="G5" i="50"/>
  <c r="G17" i="50"/>
  <c r="K5" i="50"/>
  <c r="K17" i="50"/>
  <c r="H20" i="50"/>
  <c r="D5" i="50"/>
  <c r="D17" i="50"/>
  <c r="H8" i="50"/>
  <c r="M5" i="50"/>
  <c r="I5" i="50"/>
  <c r="F5" i="50"/>
  <c r="H5" i="50"/>
  <c r="J5" i="50"/>
  <c r="L5" i="50"/>
  <c r="N5" i="50"/>
  <c r="Q6" i="48"/>
  <c r="M53" i="48"/>
  <c r="K30" i="50" s="1"/>
  <c r="N48" i="48"/>
  <c r="M43" i="48"/>
  <c r="M38" i="48"/>
  <c r="M33" i="48"/>
  <c r="N28" i="48"/>
  <c r="N23" i="48"/>
  <c r="M18" i="48"/>
  <c r="K13" i="48"/>
  <c r="K8" i="48"/>
  <c r="F62" i="48"/>
  <c r="E62" i="48"/>
  <c r="P60" i="48"/>
  <c r="O60" i="48"/>
  <c r="N60" i="48"/>
  <c r="M60" i="48"/>
  <c r="L60" i="48"/>
  <c r="K60" i="48"/>
  <c r="J60" i="48"/>
  <c r="I60" i="48"/>
  <c r="H60" i="48"/>
  <c r="F60" i="48"/>
  <c r="E60" i="48"/>
  <c r="F57" i="48"/>
  <c r="E57" i="48"/>
  <c r="P55" i="48"/>
  <c r="O55" i="48"/>
  <c r="N55" i="48"/>
  <c r="M55" i="48"/>
  <c r="L55" i="48"/>
  <c r="K55" i="48"/>
  <c r="J55" i="48"/>
  <c r="I55" i="48"/>
  <c r="H55" i="48"/>
  <c r="F55" i="48"/>
  <c r="E55" i="48"/>
  <c r="P52" i="48"/>
  <c r="O52" i="48"/>
  <c r="N52" i="48"/>
  <c r="M52" i="48"/>
  <c r="L52" i="48"/>
  <c r="K52" i="48"/>
  <c r="J52" i="48"/>
  <c r="I52" i="48"/>
  <c r="H52" i="48"/>
  <c r="F52" i="48"/>
  <c r="E52" i="48"/>
  <c r="P50" i="48"/>
  <c r="O50" i="48"/>
  <c r="N50" i="48"/>
  <c r="M50" i="48"/>
  <c r="L50" i="48"/>
  <c r="K50" i="48"/>
  <c r="J50" i="48"/>
  <c r="I50" i="48"/>
  <c r="H50" i="48"/>
  <c r="F50" i="48"/>
  <c r="E50" i="48"/>
  <c r="F47" i="48"/>
  <c r="E47" i="48"/>
  <c r="P45" i="48"/>
  <c r="O45" i="48"/>
  <c r="N45" i="48"/>
  <c r="M45" i="48"/>
  <c r="L45" i="48"/>
  <c r="K45" i="48"/>
  <c r="J45" i="48"/>
  <c r="I45" i="48"/>
  <c r="H45" i="48"/>
  <c r="F45" i="48"/>
  <c r="E45" i="48"/>
  <c r="F26" i="50" l="1"/>
  <c r="F28" i="50" s="1"/>
  <c r="H26" i="50"/>
  <c r="H28" i="50" s="1"/>
  <c r="J26" i="50"/>
  <c r="J28" i="50" s="1"/>
  <c r="L26" i="50"/>
  <c r="L28" i="50" s="1"/>
  <c r="N26" i="50"/>
  <c r="N28" i="50" s="1"/>
  <c r="D29" i="50"/>
  <c r="D31" i="50" s="1"/>
  <c r="C26" i="50"/>
  <c r="C28" i="50" s="1"/>
  <c r="D26" i="50"/>
  <c r="D28" i="50" s="1"/>
  <c r="G26" i="50"/>
  <c r="G28" i="50" s="1"/>
  <c r="I26" i="50"/>
  <c r="I28" i="50" s="1"/>
  <c r="K26" i="50"/>
  <c r="K28" i="50" s="1"/>
  <c r="M26" i="50"/>
  <c r="M28" i="50" s="1"/>
  <c r="C29" i="50"/>
  <c r="C31" i="50" s="1"/>
  <c r="I20" i="50"/>
  <c r="I8" i="50"/>
  <c r="N53" i="48"/>
  <c r="L30" i="50" s="1"/>
  <c r="P48" i="48"/>
  <c r="O48" i="48"/>
  <c r="N43" i="48"/>
  <c r="N38" i="48"/>
  <c r="N33" i="48"/>
  <c r="P28" i="48"/>
  <c r="O28" i="48"/>
  <c r="O23" i="48"/>
  <c r="P23" i="48"/>
  <c r="N18" i="48"/>
  <c r="L13" i="48"/>
  <c r="L8" i="48"/>
  <c r="F42" i="48"/>
  <c r="E42" i="48"/>
  <c r="P40" i="48"/>
  <c r="O40" i="48"/>
  <c r="N40" i="48"/>
  <c r="M40" i="48"/>
  <c r="L40" i="48"/>
  <c r="K40" i="48"/>
  <c r="J40" i="48"/>
  <c r="I40" i="48"/>
  <c r="H40" i="48"/>
  <c r="F40" i="48"/>
  <c r="E40" i="48"/>
  <c r="F37" i="48"/>
  <c r="E37" i="48"/>
  <c r="P35" i="48"/>
  <c r="O35" i="48"/>
  <c r="N35" i="48"/>
  <c r="M35" i="48"/>
  <c r="L35" i="48"/>
  <c r="K35" i="48"/>
  <c r="J35" i="48"/>
  <c r="I35" i="48"/>
  <c r="H35" i="48"/>
  <c r="F35" i="48"/>
  <c r="E35" i="48"/>
  <c r="E32" i="48"/>
  <c r="F32" i="48"/>
  <c r="P30" i="48"/>
  <c r="O30" i="48"/>
  <c r="N30" i="48"/>
  <c r="M30" i="48"/>
  <c r="L30" i="48"/>
  <c r="K30" i="48"/>
  <c r="J30" i="48"/>
  <c r="I30" i="48"/>
  <c r="H30" i="48"/>
  <c r="F30" i="48"/>
  <c r="E30" i="48"/>
  <c r="F27" i="48"/>
  <c r="E27" i="48"/>
  <c r="P25" i="48"/>
  <c r="O25" i="48"/>
  <c r="N25" i="48"/>
  <c r="M25" i="48"/>
  <c r="L25" i="48"/>
  <c r="K25" i="48"/>
  <c r="J25" i="48"/>
  <c r="I25" i="48"/>
  <c r="H25" i="48"/>
  <c r="F25" i="48"/>
  <c r="E25" i="48"/>
  <c r="F22" i="48"/>
  <c r="E22" i="48"/>
  <c r="P20" i="48"/>
  <c r="O20" i="48"/>
  <c r="N20" i="48"/>
  <c r="M20" i="48"/>
  <c r="L20" i="48"/>
  <c r="K20" i="48"/>
  <c r="J20" i="48"/>
  <c r="I20" i="48"/>
  <c r="H20" i="48"/>
  <c r="E20" i="48"/>
  <c r="P15" i="48"/>
  <c r="O15" i="48"/>
  <c r="N15" i="48"/>
  <c r="M15" i="48"/>
  <c r="L15" i="48"/>
  <c r="K15" i="48"/>
  <c r="J15" i="48"/>
  <c r="I15" i="48"/>
  <c r="E15" i="48"/>
  <c r="F15" i="48"/>
  <c r="F20" i="48"/>
  <c r="F17" i="48"/>
  <c r="E17" i="48"/>
  <c r="E12" i="48"/>
  <c r="F12" i="48"/>
  <c r="E10" i="48"/>
  <c r="F7" i="48"/>
  <c r="E7" i="48"/>
  <c r="P5" i="48"/>
  <c r="O5" i="48"/>
  <c r="N5" i="48"/>
  <c r="M5" i="48"/>
  <c r="L5" i="48"/>
  <c r="K5" i="48"/>
  <c r="J5" i="48"/>
  <c r="I5" i="48"/>
  <c r="H5" i="48"/>
  <c r="F5" i="48"/>
  <c r="E5" i="48"/>
  <c r="J20" i="50" l="1"/>
  <c r="C16" i="50"/>
  <c r="C18" i="50" s="1"/>
  <c r="H16" i="50"/>
  <c r="H18" i="50" s="1"/>
  <c r="H4" i="50"/>
  <c r="H6" i="50" s="1"/>
  <c r="J16" i="50"/>
  <c r="J18" i="50" s="1"/>
  <c r="J4" i="50"/>
  <c r="J6" i="50" s="1"/>
  <c r="L16" i="50"/>
  <c r="L18" i="50" s="1"/>
  <c r="L4" i="50"/>
  <c r="L6" i="50" s="1"/>
  <c r="N16" i="50"/>
  <c r="N18" i="50" s="1"/>
  <c r="N4" i="50"/>
  <c r="N6" i="50" s="1"/>
  <c r="D19" i="50"/>
  <c r="D21" i="50" s="1"/>
  <c r="D16" i="50"/>
  <c r="D18" i="50" s="1"/>
  <c r="G16" i="50"/>
  <c r="G18" i="50" s="1"/>
  <c r="G4" i="50"/>
  <c r="G6" i="50" s="1"/>
  <c r="I16" i="50"/>
  <c r="I18" i="50" s="1"/>
  <c r="I4" i="50"/>
  <c r="I6" i="50" s="1"/>
  <c r="K16" i="50"/>
  <c r="K18" i="50" s="1"/>
  <c r="K4" i="50"/>
  <c r="K6" i="50" s="1"/>
  <c r="M16" i="50"/>
  <c r="M18" i="50" s="1"/>
  <c r="M4" i="50"/>
  <c r="M6" i="50" s="1"/>
  <c r="C19" i="50"/>
  <c r="C21" i="50" s="1"/>
  <c r="J8" i="50"/>
  <c r="P53" i="48"/>
  <c r="N30" i="50" s="1"/>
  <c r="O53" i="48"/>
  <c r="M30" i="50" s="1"/>
  <c r="P43" i="48"/>
  <c r="O43" i="48"/>
  <c r="P38" i="48"/>
  <c r="O38" i="48"/>
  <c r="P33" i="48"/>
  <c r="O33" i="48"/>
  <c r="P18" i="48"/>
  <c r="O18" i="48"/>
  <c r="M13" i="48"/>
  <c r="M8" i="48"/>
  <c r="U7" i="16"/>
  <c r="Q43" i="5"/>
  <c r="Q42" i="5"/>
  <c r="N8" i="24"/>
  <c r="M8" i="24"/>
  <c r="N7" i="24"/>
  <c r="L8" i="24"/>
  <c r="K8" i="24"/>
  <c r="J8" i="24"/>
  <c r="I8" i="24"/>
  <c r="H8" i="24"/>
  <c r="G8" i="24"/>
  <c r="F8" i="24"/>
  <c r="E8" i="24"/>
  <c r="D8" i="24"/>
  <c r="C8" i="24"/>
  <c r="M7" i="24"/>
  <c r="L7" i="24"/>
  <c r="K7" i="24"/>
  <c r="J7" i="24"/>
  <c r="I7" i="24"/>
  <c r="H7" i="24"/>
  <c r="G7" i="24"/>
  <c r="F7" i="24"/>
  <c r="E7" i="24"/>
  <c r="D7" i="24"/>
  <c r="C7" i="24"/>
  <c r="N5" i="24"/>
  <c r="M5" i="24"/>
  <c r="L5" i="24"/>
  <c r="K5" i="24"/>
  <c r="J5" i="24"/>
  <c r="I5" i="24"/>
  <c r="H5" i="24"/>
  <c r="G5" i="24"/>
  <c r="F5" i="24"/>
  <c r="E5" i="24"/>
  <c r="D5" i="24"/>
  <c r="C5" i="24"/>
  <c r="N4" i="24"/>
  <c r="M4" i="24"/>
  <c r="L4" i="24"/>
  <c r="K4" i="24"/>
  <c r="J4" i="24"/>
  <c r="I4" i="24"/>
  <c r="H4" i="24"/>
  <c r="G4" i="24"/>
  <c r="F4" i="24"/>
  <c r="E4" i="24"/>
  <c r="D4" i="24"/>
  <c r="C4" i="24"/>
  <c r="AL6" i="16"/>
  <c r="AI6" i="16"/>
  <c r="AF6" i="16"/>
  <c r="AC6" i="16"/>
  <c r="Z6" i="16"/>
  <c r="W6" i="16"/>
  <c r="T6" i="16"/>
  <c r="Q6" i="16"/>
  <c r="K6" i="16"/>
  <c r="H6" i="16"/>
  <c r="E6" i="16"/>
  <c r="AL7" i="16"/>
  <c r="AI7" i="16"/>
  <c r="AF7" i="16"/>
  <c r="AC7" i="16"/>
  <c r="Z7" i="16"/>
  <c r="W7" i="16"/>
  <c r="T7" i="16"/>
  <c r="Q7" i="16"/>
  <c r="K7" i="16"/>
  <c r="H7" i="16"/>
  <c r="E7" i="16"/>
  <c r="F51" i="5"/>
  <c r="G51" i="5" s="1"/>
  <c r="H51" i="5" s="1"/>
  <c r="I51" i="5" s="1"/>
  <c r="J51" i="5" s="1"/>
  <c r="K51" i="5" s="1"/>
  <c r="L51" i="5" s="1"/>
  <c r="M51" i="5" s="1"/>
  <c r="N51" i="5" s="1"/>
  <c r="O51" i="5" s="1"/>
  <c r="P51" i="5" s="1"/>
  <c r="E51" i="5"/>
  <c r="E50" i="5"/>
  <c r="F50" i="5" s="1"/>
  <c r="G50" i="5" s="1"/>
  <c r="H50" i="5" s="1"/>
  <c r="I50" i="5" s="1"/>
  <c r="J50" i="5" s="1"/>
  <c r="K50" i="5" s="1"/>
  <c r="L50" i="5" s="1"/>
  <c r="M50" i="5" s="1"/>
  <c r="N50" i="5" s="1"/>
  <c r="O50" i="5" s="1"/>
  <c r="P50" i="5" s="1"/>
  <c r="E48" i="5"/>
  <c r="F48" i="5" s="1"/>
  <c r="G48" i="5" s="1"/>
  <c r="H48" i="5" s="1"/>
  <c r="I48" i="5" s="1"/>
  <c r="J48" i="5" s="1"/>
  <c r="K48" i="5" s="1"/>
  <c r="L48" i="5" s="1"/>
  <c r="M48" i="5" s="1"/>
  <c r="N48" i="5" s="1"/>
  <c r="O48" i="5" s="1"/>
  <c r="P48" i="5" s="1"/>
  <c r="F47" i="5"/>
  <c r="G47" i="5" s="1"/>
  <c r="H47" i="5" s="1"/>
  <c r="I47" i="5" s="1"/>
  <c r="J47" i="5" s="1"/>
  <c r="K47" i="5" s="1"/>
  <c r="L47" i="5" s="1"/>
  <c r="M47" i="5" s="1"/>
  <c r="N47" i="5" s="1"/>
  <c r="O47" i="5" s="1"/>
  <c r="P47" i="5" s="1"/>
  <c r="E47" i="5"/>
  <c r="G44" i="5"/>
  <c r="G20" i="48" s="1"/>
  <c r="H44" i="5"/>
  <c r="I44" i="5"/>
  <c r="J44" i="5"/>
  <c r="K44" i="5"/>
  <c r="L44" i="5"/>
  <c r="M44" i="5"/>
  <c r="N44" i="5"/>
  <c r="O44" i="5"/>
  <c r="P44" i="5"/>
  <c r="F44" i="5"/>
  <c r="E44" i="5"/>
  <c r="E49" i="5" s="1"/>
  <c r="K8" i="50" l="1"/>
  <c r="K20" i="50"/>
  <c r="Q44" i="5"/>
  <c r="Q20" i="48"/>
  <c r="O8" i="24"/>
  <c r="N13" i="48"/>
  <c r="N8" i="48"/>
  <c r="F49" i="5"/>
  <c r="G49" i="5" s="1"/>
  <c r="O4" i="24"/>
  <c r="O5" i="24"/>
  <c r="O7" i="24"/>
  <c r="C6" i="24"/>
  <c r="S30" i="2"/>
  <c r="L8" i="50" l="1"/>
  <c r="L20" i="50"/>
  <c r="H49" i="5"/>
  <c r="G22" i="48"/>
  <c r="P13" i="48"/>
  <c r="O13" i="48"/>
  <c r="P8" i="48"/>
  <c r="O8" i="48"/>
  <c r="N8" i="50" l="1"/>
  <c r="N20" i="50"/>
  <c r="M8" i="50"/>
  <c r="M20" i="50"/>
  <c r="I49" i="5"/>
  <c r="H22" i="48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E17" i="16" s="1"/>
  <c r="D10" i="16"/>
  <c r="D17" i="16" s="1"/>
  <c r="C10" i="16"/>
  <c r="C17" i="16" s="1"/>
  <c r="J49" i="5" l="1"/>
  <c r="I22" i="48"/>
  <c r="F17" i="16"/>
  <c r="I17" i="16" s="1"/>
  <c r="L17" i="16" s="1"/>
  <c r="O17" i="16" s="1"/>
  <c r="R17" i="16" s="1"/>
  <c r="U17" i="16" s="1"/>
  <c r="X17" i="16" s="1"/>
  <c r="AA17" i="16" s="1"/>
  <c r="AD17" i="16" s="1"/>
  <c r="AG17" i="16" s="1"/>
  <c r="AJ17" i="16" s="1"/>
  <c r="H17" i="16"/>
  <c r="K17" i="16" s="1"/>
  <c r="N17" i="16" s="1"/>
  <c r="Q17" i="16" s="1"/>
  <c r="T17" i="16" s="1"/>
  <c r="W17" i="16" s="1"/>
  <c r="Z17" i="16" s="1"/>
  <c r="AC17" i="16" s="1"/>
  <c r="AF17" i="16" s="1"/>
  <c r="AI17" i="16" s="1"/>
  <c r="AL17" i="16" s="1"/>
  <c r="G17" i="16"/>
  <c r="J17" i="16" s="1"/>
  <c r="M17" i="16" s="1"/>
  <c r="P17" i="16" s="1"/>
  <c r="S17" i="16" s="1"/>
  <c r="V17" i="16" s="1"/>
  <c r="Y17" i="16" s="1"/>
  <c r="AB17" i="16" s="1"/>
  <c r="AE17" i="16" s="1"/>
  <c r="AH17" i="16" s="1"/>
  <c r="AK17" i="16" s="1"/>
  <c r="E195" i="5"/>
  <c r="F195" i="5" s="1"/>
  <c r="G195" i="5" s="1"/>
  <c r="H195" i="5" s="1"/>
  <c r="I195" i="5" s="1"/>
  <c r="J195" i="5" s="1"/>
  <c r="K195" i="5" s="1"/>
  <c r="L195" i="5" s="1"/>
  <c r="M195" i="5" s="1"/>
  <c r="N195" i="5" s="1"/>
  <c r="O195" i="5" s="1"/>
  <c r="P195" i="5" s="1"/>
  <c r="E194" i="5"/>
  <c r="F194" i="5" s="1"/>
  <c r="G194" i="5" s="1"/>
  <c r="H194" i="5" s="1"/>
  <c r="I194" i="5" s="1"/>
  <c r="J194" i="5" s="1"/>
  <c r="K194" i="5" s="1"/>
  <c r="L194" i="5" s="1"/>
  <c r="M194" i="5" s="1"/>
  <c r="N194" i="5" s="1"/>
  <c r="O194" i="5" s="1"/>
  <c r="P194" i="5" s="1"/>
  <c r="E192" i="5"/>
  <c r="F192" i="5" s="1"/>
  <c r="G192" i="5" s="1"/>
  <c r="H192" i="5" s="1"/>
  <c r="I192" i="5" s="1"/>
  <c r="J192" i="5" s="1"/>
  <c r="K192" i="5" s="1"/>
  <c r="L192" i="5" s="1"/>
  <c r="M192" i="5" s="1"/>
  <c r="N192" i="5" s="1"/>
  <c r="O192" i="5" s="1"/>
  <c r="P192" i="5" s="1"/>
  <c r="E191" i="5"/>
  <c r="F191" i="5" s="1"/>
  <c r="G191" i="5" s="1"/>
  <c r="H191" i="5" s="1"/>
  <c r="I191" i="5" s="1"/>
  <c r="J191" i="5" s="1"/>
  <c r="K191" i="5" s="1"/>
  <c r="L191" i="5" s="1"/>
  <c r="M191" i="5" s="1"/>
  <c r="N191" i="5" s="1"/>
  <c r="O191" i="5" s="1"/>
  <c r="P191" i="5" s="1"/>
  <c r="L6" i="10"/>
  <c r="E183" i="5"/>
  <c r="F183" i="5" s="1"/>
  <c r="G183" i="5" s="1"/>
  <c r="H183" i="5" s="1"/>
  <c r="I183" i="5" s="1"/>
  <c r="J183" i="5" s="1"/>
  <c r="K183" i="5" s="1"/>
  <c r="L183" i="5" s="1"/>
  <c r="M183" i="5" s="1"/>
  <c r="N183" i="5" s="1"/>
  <c r="O183" i="5" s="1"/>
  <c r="P183" i="5" s="1"/>
  <c r="E182" i="5"/>
  <c r="F182" i="5" s="1"/>
  <c r="G182" i="5" s="1"/>
  <c r="H182" i="5" s="1"/>
  <c r="I182" i="5" s="1"/>
  <c r="J182" i="5" s="1"/>
  <c r="K182" i="5" s="1"/>
  <c r="L182" i="5" s="1"/>
  <c r="M182" i="5" s="1"/>
  <c r="N182" i="5" s="1"/>
  <c r="O182" i="5" s="1"/>
  <c r="P182" i="5" s="1"/>
  <c r="E180" i="5"/>
  <c r="F180" i="5" s="1"/>
  <c r="G180" i="5" s="1"/>
  <c r="H180" i="5" s="1"/>
  <c r="I180" i="5" s="1"/>
  <c r="J180" i="5" s="1"/>
  <c r="K180" i="5" s="1"/>
  <c r="L180" i="5" s="1"/>
  <c r="M180" i="5" s="1"/>
  <c r="N180" i="5" s="1"/>
  <c r="O180" i="5" s="1"/>
  <c r="P180" i="5" s="1"/>
  <c r="E179" i="5"/>
  <c r="F179" i="5" s="1"/>
  <c r="G179" i="5" s="1"/>
  <c r="H179" i="5" s="1"/>
  <c r="I179" i="5" s="1"/>
  <c r="J179" i="5" s="1"/>
  <c r="K179" i="5" s="1"/>
  <c r="L179" i="5" s="1"/>
  <c r="M179" i="5" s="1"/>
  <c r="N179" i="5" s="1"/>
  <c r="O179" i="5" s="1"/>
  <c r="P179" i="5" s="1"/>
  <c r="E171" i="5"/>
  <c r="F171" i="5" s="1"/>
  <c r="G171" i="5" s="1"/>
  <c r="H171" i="5" s="1"/>
  <c r="I171" i="5" s="1"/>
  <c r="J171" i="5" s="1"/>
  <c r="K171" i="5" s="1"/>
  <c r="L171" i="5" s="1"/>
  <c r="M171" i="5" s="1"/>
  <c r="N171" i="5" s="1"/>
  <c r="O171" i="5" s="1"/>
  <c r="P171" i="5" s="1"/>
  <c r="E170" i="5"/>
  <c r="F170" i="5" s="1"/>
  <c r="G170" i="5" s="1"/>
  <c r="H170" i="5" s="1"/>
  <c r="I170" i="5" s="1"/>
  <c r="J170" i="5" s="1"/>
  <c r="K170" i="5" s="1"/>
  <c r="L170" i="5" s="1"/>
  <c r="M170" i="5" s="1"/>
  <c r="N170" i="5" s="1"/>
  <c r="O170" i="5" s="1"/>
  <c r="P170" i="5" s="1"/>
  <c r="E168" i="5"/>
  <c r="F168" i="5" s="1"/>
  <c r="G168" i="5" s="1"/>
  <c r="H168" i="5" s="1"/>
  <c r="I168" i="5" s="1"/>
  <c r="J168" i="5" s="1"/>
  <c r="K168" i="5" s="1"/>
  <c r="L168" i="5" s="1"/>
  <c r="M168" i="5" s="1"/>
  <c r="N168" i="5" s="1"/>
  <c r="O168" i="5" s="1"/>
  <c r="P168" i="5" s="1"/>
  <c r="E167" i="5"/>
  <c r="F167" i="5" s="1"/>
  <c r="G167" i="5" s="1"/>
  <c r="H167" i="5" s="1"/>
  <c r="I167" i="5" s="1"/>
  <c r="J167" i="5" s="1"/>
  <c r="K167" i="5" s="1"/>
  <c r="L167" i="5" s="1"/>
  <c r="M167" i="5" s="1"/>
  <c r="N167" i="5" s="1"/>
  <c r="O167" i="5" s="1"/>
  <c r="P167" i="5" s="1"/>
  <c r="E159" i="5"/>
  <c r="F159" i="5" s="1"/>
  <c r="G159" i="5" s="1"/>
  <c r="H159" i="5" s="1"/>
  <c r="I159" i="5" s="1"/>
  <c r="J159" i="5" s="1"/>
  <c r="K159" i="5" s="1"/>
  <c r="L159" i="5" s="1"/>
  <c r="M159" i="5" s="1"/>
  <c r="N159" i="5" s="1"/>
  <c r="O159" i="5" s="1"/>
  <c r="P159" i="5" s="1"/>
  <c r="E158" i="5"/>
  <c r="F158" i="5" s="1"/>
  <c r="G158" i="5" s="1"/>
  <c r="H158" i="5" s="1"/>
  <c r="I158" i="5" s="1"/>
  <c r="J158" i="5" s="1"/>
  <c r="K158" i="5" s="1"/>
  <c r="L158" i="5" s="1"/>
  <c r="M158" i="5" s="1"/>
  <c r="N158" i="5" s="1"/>
  <c r="O158" i="5" s="1"/>
  <c r="P158" i="5" s="1"/>
  <c r="G140" i="5"/>
  <c r="G60" i="48" s="1"/>
  <c r="Q60" i="48" s="1"/>
  <c r="F140" i="5"/>
  <c r="E156" i="5"/>
  <c r="F156" i="5" s="1"/>
  <c r="G156" i="5" s="1"/>
  <c r="H156" i="5" s="1"/>
  <c r="I156" i="5" s="1"/>
  <c r="J156" i="5" s="1"/>
  <c r="K156" i="5" s="1"/>
  <c r="L156" i="5" s="1"/>
  <c r="M156" i="5" s="1"/>
  <c r="N156" i="5" s="1"/>
  <c r="O156" i="5" s="1"/>
  <c r="P156" i="5" s="1"/>
  <c r="E155" i="5"/>
  <c r="F155" i="5" s="1"/>
  <c r="G155" i="5" s="1"/>
  <c r="H155" i="5" s="1"/>
  <c r="I155" i="5" s="1"/>
  <c r="J155" i="5" s="1"/>
  <c r="K155" i="5" s="1"/>
  <c r="L155" i="5" s="1"/>
  <c r="M155" i="5" s="1"/>
  <c r="N155" i="5" s="1"/>
  <c r="O155" i="5" s="1"/>
  <c r="P155" i="5" s="1"/>
  <c r="K49" i="5" l="1"/>
  <c r="J22" i="48"/>
  <c r="E147" i="5"/>
  <c r="F147" i="5" s="1"/>
  <c r="G147" i="5" s="1"/>
  <c r="H147" i="5" s="1"/>
  <c r="I147" i="5" s="1"/>
  <c r="J147" i="5" s="1"/>
  <c r="K147" i="5" s="1"/>
  <c r="L147" i="5" s="1"/>
  <c r="M147" i="5" s="1"/>
  <c r="N147" i="5" s="1"/>
  <c r="O147" i="5" s="1"/>
  <c r="P147" i="5" s="1"/>
  <c r="E146" i="5"/>
  <c r="F146" i="5" s="1"/>
  <c r="G146" i="5" s="1"/>
  <c r="H146" i="5" s="1"/>
  <c r="I146" i="5" s="1"/>
  <c r="J146" i="5" s="1"/>
  <c r="K146" i="5" s="1"/>
  <c r="L146" i="5" s="1"/>
  <c r="M146" i="5" s="1"/>
  <c r="N146" i="5" s="1"/>
  <c r="O146" i="5" s="1"/>
  <c r="P146" i="5" s="1"/>
  <c r="E144" i="5"/>
  <c r="F144" i="5" s="1"/>
  <c r="G144" i="5" s="1"/>
  <c r="H144" i="5" s="1"/>
  <c r="I144" i="5" s="1"/>
  <c r="J144" i="5" s="1"/>
  <c r="K144" i="5" s="1"/>
  <c r="L144" i="5" s="1"/>
  <c r="M144" i="5" s="1"/>
  <c r="N144" i="5" s="1"/>
  <c r="O144" i="5" s="1"/>
  <c r="P144" i="5" s="1"/>
  <c r="E143" i="5"/>
  <c r="F143" i="5" s="1"/>
  <c r="G143" i="5" s="1"/>
  <c r="H143" i="5" s="1"/>
  <c r="I143" i="5" s="1"/>
  <c r="J143" i="5" s="1"/>
  <c r="K143" i="5" s="1"/>
  <c r="L143" i="5" s="1"/>
  <c r="M143" i="5" s="1"/>
  <c r="N143" i="5" s="1"/>
  <c r="O143" i="5" s="1"/>
  <c r="P143" i="5" s="1"/>
  <c r="E135" i="5"/>
  <c r="F135" i="5" s="1"/>
  <c r="G135" i="5" s="1"/>
  <c r="H135" i="5" s="1"/>
  <c r="I135" i="5" s="1"/>
  <c r="J135" i="5" s="1"/>
  <c r="K135" i="5" s="1"/>
  <c r="L135" i="5" s="1"/>
  <c r="M135" i="5" s="1"/>
  <c r="N135" i="5" s="1"/>
  <c r="O135" i="5" s="1"/>
  <c r="P135" i="5" s="1"/>
  <c r="E134" i="5"/>
  <c r="F134" i="5" s="1"/>
  <c r="G134" i="5" s="1"/>
  <c r="H134" i="5" s="1"/>
  <c r="I134" i="5" s="1"/>
  <c r="J134" i="5" s="1"/>
  <c r="K134" i="5" s="1"/>
  <c r="L134" i="5" s="1"/>
  <c r="M134" i="5" s="1"/>
  <c r="N134" i="5" s="1"/>
  <c r="O134" i="5" s="1"/>
  <c r="P134" i="5" s="1"/>
  <c r="E132" i="5"/>
  <c r="F132" i="5" s="1"/>
  <c r="G132" i="5" s="1"/>
  <c r="H132" i="5" s="1"/>
  <c r="I132" i="5" s="1"/>
  <c r="J132" i="5" s="1"/>
  <c r="K132" i="5" s="1"/>
  <c r="L132" i="5" s="1"/>
  <c r="M132" i="5" s="1"/>
  <c r="N132" i="5" s="1"/>
  <c r="O132" i="5" s="1"/>
  <c r="P132" i="5" s="1"/>
  <c r="E131" i="5"/>
  <c r="F131" i="5" s="1"/>
  <c r="G131" i="5" s="1"/>
  <c r="H131" i="5" s="1"/>
  <c r="I131" i="5" s="1"/>
  <c r="J131" i="5" s="1"/>
  <c r="K131" i="5" s="1"/>
  <c r="L131" i="5" s="1"/>
  <c r="M131" i="5" s="1"/>
  <c r="N131" i="5" s="1"/>
  <c r="O131" i="5" s="1"/>
  <c r="P131" i="5" s="1"/>
  <c r="E123" i="5"/>
  <c r="F123" i="5" s="1"/>
  <c r="G123" i="5" s="1"/>
  <c r="H123" i="5" s="1"/>
  <c r="I123" i="5" s="1"/>
  <c r="J123" i="5" s="1"/>
  <c r="K123" i="5" s="1"/>
  <c r="L123" i="5" s="1"/>
  <c r="M123" i="5" s="1"/>
  <c r="N123" i="5" s="1"/>
  <c r="O123" i="5" s="1"/>
  <c r="P123" i="5" s="1"/>
  <c r="E122" i="5"/>
  <c r="F122" i="5" s="1"/>
  <c r="G122" i="5" s="1"/>
  <c r="H122" i="5" s="1"/>
  <c r="I122" i="5" s="1"/>
  <c r="J122" i="5" s="1"/>
  <c r="K122" i="5" s="1"/>
  <c r="L122" i="5" s="1"/>
  <c r="M122" i="5" s="1"/>
  <c r="N122" i="5" s="1"/>
  <c r="O122" i="5" s="1"/>
  <c r="P122" i="5" s="1"/>
  <c r="E120" i="5"/>
  <c r="F120" i="5" s="1"/>
  <c r="G120" i="5" s="1"/>
  <c r="H120" i="5" s="1"/>
  <c r="I120" i="5" s="1"/>
  <c r="J120" i="5" s="1"/>
  <c r="K120" i="5" s="1"/>
  <c r="L120" i="5" s="1"/>
  <c r="M120" i="5" s="1"/>
  <c r="N120" i="5" s="1"/>
  <c r="O120" i="5" s="1"/>
  <c r="P120" i="5" s="1"/>
  <c r="E119" i="5"/>
  <c r="F119" i="5" s="1"/>
  <c r="G119" i="5" s="1"/>
  <c r="H119" i="5" s="1"/>
  <c r="I119" i="5" s="1"/>
  <c r="J119" i="5" s="1"/>
  <c r="K119" i="5" s="1"/>
  <c r="L119" i="5" s="1"/>
  <c r="M119" i="5" s="1"/>
  <c r="N119" i="5" s="1"/>
  <c r="O119" i="5" s="1"/>
  <c r="P119" i="5" s="1"/>
  <c r="E111" i="5"/>
  <c r="F111" i="5" s="1"/>
  <c r="G111" i="5" s="1"/>
  <c r="H111" i="5" s="1"/>
  <c r="I111" i="5" s="1"/>
  <c r="J111" i="5" s="1"/>
  <c r="K111" i="5" s="1"/>
  <c r="L111" i="5" s="1"/>
  <c r="M111" i="5" s="1"/>
  <c r="N111" i="5" s="1"/>
  <c r="O111" i="5" s="1"/>
  <c r="P111" i="5" s="1"/>
  <c r="E110" i="5"/>
  <c r="F110" i="5" s="1"/>
  <c r="G110" i="5" s="1"/>
  <c r="H110" i="5" s="1"/>
  <c r="I110" i="5" s="1"/>
  <c r="J110" i="5" s="1"/>
  <c r="K110" i="5" s="1"/>
  <c r="L110" i="5" s="1"/>
  <c r="M110" i="5" s="1"/>
  <c r="N110" i="5" s="1"/>
  <c r="O110" i="5" s="1"/>
  <c r="P110" i="5" s="1"/>
  <c r="E108" i="5"/>
  <c r="F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E99" i="5"/>
  <c r="F99" i="5" s="1"/>
  <c r="G99" i="5" s="1"/>
  <c r="H99" i="5" s="1"/>
  <c r="I99" i="5" s="1"/>
  <c r="J99" i="5" s="1"/>
  <c r="K99" i="5" s="1"/>
  <c r="L99" i="5" s="1"/>
  <c r="M99" i="5" s="1"/>
  <c r="N99" i="5" s="1"/>
  <c r="O99" i="5" s="1"/>
  <c r="P99" i="5" s="1"/>
  <c r="E98" i="5"/>
  <c r="F98" i="5" s="1"/>
  <c r="G98" i="5" s="1"/>
  <c r="H98" i="5" s="1"/>
  <c r="I98" i="5" s="1"/>
  <c r="J98" i="5" s="1"/>
  <c r="K98" i="5" s="1"/>
  <c r="L98" i="5" s="1"/>
  <c r="M98" i="5" s="1"/>
  <c r="N98" i="5" s="1"/>
  <c r="O98" i="5" s="1"/>
  <c r="P98" i="5" s="1"/>
  <c r="E97" i="5"/>
  <c r="E96" i="5"/>
  <c r="F96" i="5" s="1"/>
  <c r="G96" i="5" s="1"/>
  <c r="H96" i="5" s="1"/>
  <c r="I96" i="5" s="1"/>
  <c r="J96" i="5" s="1"/>
  <c r="K96" i="5" s="1"/>
  <c r="L96" i="5" s="1"/>
  <c r="M96" i="5" s="1"/>
  <c r="N96" i="5" s="1"/>
  <c r="O96" i="5" s="1"/>
  <c r="P96" i="5" s="1"/>
  <c r="E95" i="5"/>
  <c r="F95" i="5" s="1"/>
  <c r="G95" i="5" s="1"/>
  <c r="H95" i="5" s="1"/>
  <c r="I95" i="5" s="1"/>
  <c r="J95" i="5" s="1"/>
  <c r="K95" i="5" s="1"/>
  <c r="L95" i="5" s="1"/>
  <c r="M95" i="5" s="1"/>
  <c r="N95" i="5" s="1"/>
  <c r="O95" i="5" s="1"/>
  <c r="P95" i="5" s="1"/>
  <c r="L49" i="5" l="1"/>
  <c r="K22" i="48"/>
  <c r="F87" i="5"/>
  <c r="G87" i="5" s="1"/>
  <c r="H87" i="5" s="1"/>
  <c r="I87" i="5" s="1"/>
  <c r="J87" i="5" s="1"/>
  <c r="K87" i="5" s="1"/>
  <c r="L87" i="5" s="1"/>
  <c r="M87" i="5" s="1"/>
  <c r="N87" i="5" s="1"/>
  <c r="O87" i="5" s="1"/>
  <c r="P87" i="5" s="1"/>
  <c r="E87" i="5"/>
  <c r="E75" i="5"/>
  <c r="F75" i="5" s="1"/>
  <c r="G75" i="5" s="1"/>
  <c r="H75" i="5" s="1"/>
  <c r="I75" i="5" s="1"/>
  <c r="J75" i="5" s="1"/>
  <c r="K75" i="5" s="1"/>
  <c r="L75" i="5" s="1"/>
  <c r="M75" i="5" s="1"/>
  <c r="N75" i="5" s="1"/>
  <c r="O75" i="5" s="1"/>
  <c r="P75" i="5" s="1"/>
  <c r="E63" i="5"/>
  <c r="F63" i="5" s="1"/>
  <c r="G63" i="5" s="1"/>
  <c r="H63" i="5" s="1"/>
  <c r="I63" i="5" s="1"/>
  <c r="J63" i="5" s="1"/>
  <c r="K63" i="5" s="1"/>
  <c r="L63" i="5" s="1"/>
  <c r="M63" i="5" s="1"/>
  <c r="N63" i="5" s="1"/>
  <c r="O63" i="5" s="1"/>
  <c r="P63" i="5" s="1"/>
  <c r="G188" i="5"/>
  <c r="G80" i="48" s="1"/>
  <c r="Q80" i="48" s="1"/>
  <c r="H188" i="5"/>
  <c r="I188" i="5"/>
  <c r="J188" i="5"/>
  <c r="K188" i="5"/>
  <c r="L188" i="5"/>
  <c r="M188" i="5"/>
  <c r="N188" i="5"/>
  <c r="O188" i="5"/>
  <c r="P188" i="5"/>
  <c r="F188" i="5"/>
  <c r="G176" i="5"/>
  <c r="G75" i="48" s="1"/>
  <c r="H176" i="5"/>
  <c r="I176" i="5"/>
  <c r="J176" i="5"/>
  <c r="K176" i="5"/>
  <c r="L176" i="5"/>
  <c r="M176" i="5"/>
  <c r="N176" i="5"/>
  <c r="O176" i="5"/>
  <c r="P176" i="5"/>
  <c r="F176" i="5"/>
  <c r="F75" i="48" s="1"/>
  <c r="G164" i="5"/>
  <c r="H164" i="5"/>
  <c r="N9" i="16" s="1"/>
  <c r="I164" i="5"/>
  <c r="Q9" i="16" s="1"/>
  <c r="J164" i="5"/>
  <c r="T9" i="16" s="1"/>
  <c r="K164" i="5"/>
  <c r="W9" i="16" s="1"/>
  <c r="L164" i="5"/>
  <c r="Z9" i="16" s="1"/>
  <c r="M164" i="5"/>
  <c r="AC9" i="16" s="1"/>
  <c r="N164" i="5"/>
  <c r="AF9" i="16" s="1"/>
  <c r="O164" i="5"/>
  <c r="AI9" i="16" s="1"/>
  <c r="P164" i="5"/>
  <c r="AL9" i="16" s="1"/>
  <c r="F164" i="5"/>
  <c r="H9" i="16" s="1"/>
  <c r="G152" i="5"/>
  <c r="G65" i="48" s="1"/>
  <c r="Q65" i="48" s="1"/>
  <c r="H152" i="5"/>
  <c r="I152" i="5"/>
  <c r="J152" i="5"/>
  <c r="K152" i="5"/>
  <c r="L152" i="5"/>
  <c r="M152" i="5"/>
  <c r="N152" i="5"/>
  <c r="O152" i="5"/>
  <c r="P152" i="5"/>
  <c r="F152" i="5"/>
  <c r="H140" i="5"/>
  <c r="I140" i="5"/>
  <c r="J140" i="5"/>
  <c r="K140" i="5"/>
  <c r="L140" i="5"/>
  <c r="M140" i="5"/>
  <c r="N140" i="5"/>
  <c r="O140" i="5"/>
  <c r="P140" i="5"/>
  <c r="G128" i="5"/>
  <c r="G55" i="48" s="1"/>
  <c r="Q55" i="48" s="1"/>
  <c r="H128" i="5"/>
  <c r="I128" i="5"/>
  <c r="J128" i="5"/>
  <c r="K128" i="5"/>
  <c r="L128" i="5"/>
  <c r="M128" i="5"/>
  <c r="N128" i="5"/>
  <c r="O128" i="5"/>
  <c r="P128" i="5"/>
  <c r="F128" i="5"/>
  <c r="G116" i="5"/>
  <c r="H116" i="5"/>
  <c r="I116" i="5"/>
  <c r="J116" i="5"/>
  <c r="K116" i="5"/>
  <c r="L116" i="5"/>
  <c r="M116" i="5"/>
  <c r="N116" i="5"/>
  <c r="O116" i="5"/>
  <c r="P116" i="5"/>
  <c r="F116" i="5"/>
  <c r="G104" i="5"/>
  <c r="G45" i="48" s="1"/>
  <c r="H104" i="5"/>
  <c r="M9" i="16" s="1"/>
  <c r="I104" i="5"/>
  <c r="P9" i="16" s="1"/>
  <c r="J104" i="5"/>
  <c r="S9" i="16" s="1"/>
  <c r="K104" i="5"/>
  <c r="V9" i="16" s="1"/>
  <c r="L104" i="5"/>
  <c r="Y9" i="16" s="1"/>
  <c r="M104" i="5"/>
  <c r="AB9" i="16" s="1"/>
  <c r="N104" i="5"/>
  <c r="AE9" i="16" s="1"/>
  <c r="O104" i="5"/>
  <c r="AH9" i="16" s="1"/>
  <c r="P104" i="5"/>
  <c r="AK9" i="16" s="1"/>
  <c r="F104" i="5"/>
  <c r="G9" i="16" s="1"/>
  <c r="G92" i="5"/>
  <c r="G40" i="48" s="1"/>
  <c r="Q40" i="48" s="1"/>
  <c r="H92" i="5"/>
  <c r="I92" i="5"/>
  <c r="J92" i="5"/>
  <c r="K92" i="5"/>
  <c r="L92" i="5"/>
  <c r="M92" i="5"/>
  <c r="N92" i="5"/>
  <c r="O92" i="5"/>
  <c r="P92" i="5"/>
  <c r="F92" i="5"/>
  <c r="F97" i="5" s="1"/>
  <c r="G97" i="5" s="1"/>
  <c r="G80" i="5"/>
  <c r="G35" i="48" s="1"/>
  <c r="Q35" i="48" s="1"/>
  <c r="H80" i="5"/>
  <c r="I80" i="5"/>
  <c r="J80" i="5"/>
  <c r="K80" i="5"/>
  <c r="L80" i="5"/>
  <c r="M80" i="5"/>
  <c r="N80" i="5"/>
  <c r="O80" i="5"/>
  <c r="P80" i="5"/>
  <c r="F80" i="5"/>
  <c r="E15" i="5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F68" i="5"/>
  <c r="H68" i="5"/>
  <c r="I68" i="5"/>
  <c r="J68" i="5"/>
  <c r="K68" i="5"/>
  <c r="L68" i="5"/>
  <c r="M68" i="5"/>
  <c r="N68" i="5"/>
  <c r="O68" i="5"/>
  <c r="P68" i="5"/>
  <c r="E68" i="5"/>
  <c r="F56" i="5"/>
  <c r="G56" i="5"/>
  <c r="G25" i="48" s="1"/>
  <c r="Q25" i="48" s="1"/>
  <c r="H56" i="5"/>
  <c r="I56" i="5"/>
  <c r="J56" i="5"/>
  <c r="K56" i="5"/>
  <c r="L56" i="5"/>
  <c r="M56" i="5"/>
  <c r="N56" i="5"/>
  <c r="O56" i="5"/>
  <c r="P56" i="5"/>
  <c r="E56" i="5"/>
  <c r="F32" i="5"/>
  <c r="G32" i="5"/>
  <c r="G15" i="48" s="1"/>
  <c r="H32" i="5"/>
  <c r="H15" i="48" s="1"/>
  <c r="I32" i="5"/>
  <c r="J32" i="5"/>
  <c r="K32" i="5"/>
  <c r="L32" i="5"/>
  <c r="M32" i="5"/>
  <c r="N32" i="5"/>
  <c r="O32" i="5"/>
  <c r="P32" i="5"/>
  <c r="E32" i="5"/>
  <c r="F20" i="5"/>
  <c r="G20" i="5"/>
  <c r="G10" i="48" s="1"/>
  <c r="H20" i="5"/>
  <c r="H10" i="48" s="1"/>
  <c r="I20" i="5"/>
  <c r="J20" i="5"/>
  <c r="K20" i="5"/>
  <c r="L20" i="5"/>
  <c r="M20" i="5"/>
  <c r="N20" i="5"/>
  <c r="O20" i="5"/>
  <c r="P20" i="5"/>
  <c r="E20" i="5"/>
  <c r="F8" i="5"/>
  <c r="F9" i="16" s="1"/>
  <c r="G8" i="5"/>
  <c r="G5" i="48" s="1"/>
  <c r="H8" i="5"/>
  <c r="L9" i="16" s="1"/>
  <c r="I8" i="5"/>
  <c r="O9" i="16" s="1"/>
  <c r="J8" i="5"/>
  <c r="R9" i="16" s="1"/>
  <c r="K8" i="5"/>
  <c r="U9" i="16" s="1"/>
  <c r="L8" i="5"/>
  <c r="X9" i="16" s="1"/>
  <c r="M8" i="5"/>
  <c r="AA9" i="16" s="1"/>
  <c r="N8" i="5"/>
  <c r="AD9" i="16" s="1"/>
  <c r="O8" i="5"/>
  <c r="AG9" i="16" s="1"/>
  <c r="P8" i="5"/>
  <c r="AJ9" i="16" s="1"/>
  <c r="E8" i="5"/>
  <c r="E39" i="5"/>
  <c r="F39" i="5" s="1"/>
  <c r="G39" i="5" s="1"/>
  <c r="H39" i="5" s="1"/>
  <c r="I39" i="5" s="1"/>
  <c r="J39" i="5" s="1"/>
  <c r="K39" i="5" s="1"/>
  <c r="L39" i="5" s="1"/>
  <c r="M39" i="5" s="1"/>
  <c r="N39" i="5" s="1"/>
  <c r="O39" i="5" s="1"/>
  <c r="P39" i="5" s="1"/>
  <c r="E27" i="5"/>
  <c r="F27" i="5" s="1"/>
  <c r="G27" i="5" s="1"/>
  <c r="H27" i="5" s="1"/>
  <c r="I27" i="5" s="1"/>
  <c r="J27" i="5" s="1"/>
  <c r="K27" i="5" s="1"/>
  <c r="L27" i="5" s="1"/>
  <c r="M27" i="5" s="1"/>
  <c r="N27" i="5" s="1"/>
  <c r="O27" i="5" s="1"/>
  <c r="P27" i="5" s="1"/>
  <c r="E86" i="5"/>
  <c r="F86" i="5" s="1"/>
  <c r="G86" i="5" s="1"/>
  <c r="H86" i="5" s="1"/>
  <c r="I86" i="5" s="1"/>
  <c r="J86" i="5" s="1"/>
  <c r="K86" i="5" s="1"/>
  <c r="L86" i="5" s="1"/>
  <c r="M86" i="5" s="1"/>
  <c r="N86" i="5" s="1"/>
  <c r="O86" i="5" s="1"/>
  <c r="P86" i="5" s="1"/>
  <c r="E85" i="5"/>
  <c r="F85" i="5" s="1"/>
  <c r="G85" i="5" s="1"/>
  <c r="E84" i="5"/>
  <c r="F84" i="5" s="1"/>
  <c r="P84" i="5" s="1"/>
  <c r="E83" i="5"/>
  <c r="F83" i="5" s="1"/>
  <c r="G83" i="5" s="1"/>
  <c r="H83" i="5" s="1"/>
  <c r="I83" i="5" s="1"/>
  <c r="J83" i="5" s="1"/>
  <c r="K83" i="5" s="1"/>
  <c r="L83" i="5" s="1"/>
  <c r="M83" i="5" s="1"/>
  <c r="N83" i="5" s="1"/>
  <c r="O83" i="5" s="1"/>
  <c r="P83" i="5" s="1"/>
  <c r="E74" i="5"/>
  <c r="F74" i="5" s="1"/>
  <c r="G74" i="5" s="1"/>
  <c r="H74" i="5" s="1"/>
  <c r="I74" i="5" s="1"/>
  <c r="J74" i="5" s="1"/>
  <c r="K74" i="5" s="1"/>
  <c r="L74" i="5" s="1"/>
  <c r="M74" i="5" s="1"/>
  <c r="N74" i="5" s="1"/>
  <c r="O74" i="5" s="1"/>
  <c r="P74" i="5" s="1"/>
  <c r="E73" i="5"/>
  <c r="F73" i="5" s="1"/>
  <c r="E72" i="5"/>
  <c r="F72" i="5" s="1"/>
  <c r="G72" i="5" s="1"/>
  <c r="H72" i="5" s="1"/>
  <c r="I72" i="5" s="1"/>
  <c r="J72" i="5" s="1"/>
  <c r="K72" i="5" s="1"/>
  <c r="L72" i="5" s="1"/>
  <c r="M72" i="5" s="1"/>
  <c r="N72" i="5" s="1"/>
  <c r="O72" i="5" s="1"/>
  <c r="P72" i="5" s="1"/>
  <c r="E71" i="5"/>
  <c r="F71" i="5" s="1"/>
  <c r="E14" i="5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E62" i="5"/>
  <c r="F62" i="5" s="1"/>
  <c r="G62" i="5" s="1"/>
  <c r="H62" i="5" s="1"/>
  <c r="I62" i="5" s="1"/>
  <c r="J62" i="5" s="1"/>
  <c r="K62" i="5" s="1"/>
  <c r="L62" i="5" s="1"/>
  <c r="M62" i="5" s="1"/>
  <c r="N62" i="5" s="1"/>
  <c r="O62" i="5" s="1"/>
  <c r="P62" i="5" s="1"/>
  <c r="E61" i="5"/>
  <c r="F61" i="5" s="1"/>
  <c r="G61" i="5" s="1"/>
  <c r="E60" i="5"/>
  <c r="F60" i="5" s="1"/>
  <c r="G60" i="5" s="1"/>
  <c r="H60" i="5" s="1"/>
  <c r="I60" i="5" s="1"/>
  <c r="J60" i="5" s="1"/>
  <c r="K60" i="5" s="1"/>
  <c r="L60" i="5" s="1"/>
  <c r="M60" i="5" s="1"/>
  <c r="N60" i="5" s="1"/>
  <c r="O60" i="5" s="1"/>
  <c r="P60" i="5" s="1"/>
  <c r="E59" i="5"/>
  <c r="F59" i="5" s="1"/>
  <c r="G59" i="5" s="1"/>
  <c r="H59" i="5" s="1"/>
  <c r="I59" i="5" s="1"/>
  <c r="J59" i="5" s="1"/>
  <c r="K59" i="5" s="1"/>
  <c r="L59" i="5" s="1"/>
  <c r="M59" i="5" s="1"/>
  <c r="N59" i="5" s="1"/>
  <c r="O59" i="5" s="1"/>
  <c r="P59" i="5" s="1"/>
  <c r="E13" i="5"/>
  <c r="F13" i="5" s="1"/>
  <c r="G13" i="5" s="1"/>
  <c r="E37" i="5"/>
  <c r="F37" i="5" s="1"/>
  <c r="G37" i="5" s="1"/>
  <c r="E25" i="5"/>
  <c r="F25" i="5" s="1"/>
  <c r="G25" i="5" s="1"/>
  <c r="E12" i="5"/>
  <c r="F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E11" i="5"/>
  <c r="F11" i="5" s="1"/>
  <c r="G11" i="5" s="1"/>
  <c r="H11" i="5" s="1"/>
  <c r="I11" i="5" s="1"/>
  <c r="J11" i="5" s="1"/>
  <c r="K11" i="5" s="1"/>
  <c r="L11" i="5" s="1"/>
  <c r="M11" i="5" s="1"/>
  <c r="N11" i="5" s="1"/>
  <c r="O11" i="5" s="1"/>
  <c r="P11" i="5" s="1"/>
  <c r="Q45" i="48" l="1"/>
  <c r="D36" i="50"/>
  <c r="D38" i="50" s="1"/>
  <c r="D4" i="50"/>
  <c r="D6" i="50" s="1"/>
  <c r="F4" i="50"/>
  <c r="F6" i="50" s="1"/>
  <c r="F16" i="50"/>
  <c r="F18" i="50" s="1"/>
  <c r="K9" i="16"/>
  <c r="G70" i="48"/>
  <c r="G52" i="48"/>
  <c r="G50" i="48"/>
  <c r="Q50" i="48" s="1"/>
  <c r="H97" i="5"/>
  <c r="G42" i="48"/>
  <c r="H85" i="5"/>
  <c r="G37" i="48"/>
  <c r="H61" i="5"/>
  <c r="G27" i="48"/>
  <c r="M49" i="5"/>
  <c r="L22" i="48"/>
  <c r="H37" i="5"/>
  <c r="G17" i="48"/>
  <c r="Q15" i="48"/>
  <c r="H25" i="5"/>
  <c r="G12" i="48"/>
  <c r="Q10" i="48"/>
  <c r="H13" i="5"/>
  <c r="G7" i="48"/>
  <c r="Q5" i="48"/>
  <c r="J9" i="16"/>
  <c r="G84" i="5"/>
  <c r="H84" i="5" s="1"/>
  <c r="I84" i="5" s="1"/>
  <c r="J84" i="5" s="1"/>
  <c r="K84" i="5" s="1"/>
  <c r="L84" i="5" s="1"/>
  <c r="M84" i="5" s="1"/>
  <c r="N84" i="5" s="1"/>
  <c r="O84" i="5" s="1"/>
  <c r="E38" i="5"/>
  <c r="F38" i="5" s="1"/>
  <c r="G38" i="5" s="1"/>
  <c r="H38" i="5" s="1"/>
  <c r="I38" i="5" s="1"/>
  <c r="J38" i="5" s="1"/>
  <c r="K38" i="5" s="1"/>
  <c r="L38" i="5" s="1"/>
  <c r="M38" i="5" s="1"/>
  <c r="N38" i="5" s="1"/>
  <c r="O38" i="5" s="1"/>
  <c r="P38" i="5" s="1"/>
  <c r="E36" i="5"/>
  <c r="F36" i="5" s="1"/>
  <c r="G36" i="5" s="1"/>
  <c r="H36" i="5" s="1"/>
  <c r="I36" i="5" s="1"/>
  <c r="J36" i="5" s="1"/>
  <c r="K36" i="5" s="1"/>
  <c r="L36" i="5" s="1"/>
  <c r="M36" i="5" s="1"/>
  <c r="N36" i="5" s="1"/>
  <c r="O36" i="5" s="1"/>
  <c r="P36" i="5" s="1"/>
  <c r="E35" i="5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E26" i="50" l="1"/>
  <c r="E28" i="50" s="1"/>
  <c r="Q70" i="48"/>
  <c r="E36" i="50"/>
  <c r="E38" i="50" s="1"/>
  <c r="I97" i="5"/>
  <c r="H42" i="48"/>
  <c r="I85" i="5"/>
  <c r="H37" i="48"/>
  <c r="I61" i="5"/>
  <c r="H27" i="48"/>
  <c r="N49" i="5"/>
  <c r="M22" i="48"/>
  <c r="I37" i="5"/>
  <c r="H17" i="48"/>
  <c r="I25" i="5"/>
  <c r="H12" i="48"/>
  <c r="I13" i="5"/>
  <c r="H7" i="48"/>
  <c r="E26" i="5"/>
  <c r="F26" i="5" s="1"/>
  <c r="G26" i="5" s="1"/>
  <c r="H26" i="5" s="1"/>
  <c r="I26" i="5" s="1"/>
  <c r="J26" i="5" s="1"/>
  <c r="K26" i="5" s="1"/>
  <c r="L26" i="5" s="1"/>
  <c r="M26" i="5" s="1"/>
  <c r="N26" i="5" s="1"/>
  <c r="O26" i="5" s="1"/>
  <c r="P26" i="5" s="1"/>
  <c r="E24" i="5"/>
  <c r="F24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E23" i="5"/>
  <c r="J97" i="5" l="1"/>
  <c r="I42" i="48"/>
  <c r="J85" i="5"/>
  <c r="I37" i="48"/>
  <c r="J61" i="5"/>
  <c r="I27" i="48"/>
  <c r="O49" i="5"/>
  <c r="N22" i="48"/>
  <c r="J37" i="5"/>
  <c r="I17" i="48"/>
  <c r="J25" i="5"/>
  <c r="I12" i="48"/>
  <c r="J13" i="5"/>
  <c r="I7" i="48"/>
  <c r="F23" i="5"/>
  <c r="G23" i="5" s="1"/>
  <c r="H23" i="5" s="1"/>
  <c r="C13" i="24"/>
  <c r="C12" i="24"/>
  <c r="C10" i="24"/>
  <c r="M9" i="10"/>
  <c r="AB9" i="2"/>
  <c r="AB10" i="2"/>
  <c r="AB11" i="2"/>
  <c r="AB12" i="2"/>
  <c r="AB13" i="2"/>
  <c r="AB14" i="2"/>
  <c r="AB15" i="2"/>
  <c r="L9" i="10"/>
  <c r="M8" i="10"/>
  <c r="L8" i="10"/>
  <c r="M7" i="10"/>
  <c r="L7" i="10"/>
  <c r="M6" i="10"/>
  <c r="K97" i="5" l="1"/>
  <c r="J42" i="48"/>
  <c r="K85" i="5"/>
  <c r="J37" i="48"/>
  <c r="K61" i="5"/>
  <c r="J27" i="48"/>
  <c r="P49" i="5"/>
  <c r="P22" i="48" s="1"/>
  <c r="O22" i="48"/>
  <c r="K37" i="5"/>
  <c r="J17" i="48"/>
  <c r="K25" i="5"/>
  <c r="J12" i="48"/>
  <c r="K13" i="5"/>
  <c r="J7" i="48"/>
  <c r="AB17" i="2"/>
  <c r="AB16" i="2"/>
  <c r="D13" i="24"/>
  <c r="E13" i="24" s="1"/>
  <c r="F13" i="24" s="1"/>
  <c r="G13" i="24" s="1"/>
  <c r="H13" i="24" s="1"/>
  <c r="I13" i="24" s="1"/>
  <c r="J13" i="24" s="1"/>
  <c r="K13" i="24" s="1"/>
  <c r="L13" i="24" s="1"/>
  <c r="M13" i="24" s="1"/>
  <c r="N13" i="24" s="1"/>
  <c r="I23" i="5"/>
  <c r="D12" i="24"/>
  <c r="E12" i="24" s="1"/>
  <c r="F12" i="24" s="1"/>
  <c r="G12" i="24" s="1"/>
  <c r="H12" i="24" s="1"/>
  <c r="I12" i="24" s="1"/>
  <c r="J12" i="24" s="1"/>
  <c r="K12" i="24" s="1"/>
  <c r="L12" i="24" s="1"/>
  <c r="M12" i="24" s="1"/>
  <c r="N12" i="24" s="1"/>
  <c r="D10" i="24"/>
  <c r="D6" i="24"/>
  <c r="F6" i="24"/>
  <c r="H6" i="24"/>
  <c r="J6" i="24"/>
  <c r="L6" i="24"/>
  <c r="N6" i="24"/>
  <c r="C11" i="24"/>
  <c r="G6" i="24"/>
  <c r="I6" i="24"/>
  <c r="K6" i="24"/>
  <c r="M6" i="24"/>
  <c r="C9" i="24"/>
  <c r="D9" i="24" s="1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H11" i="3"/>
  <c r="G11" i="3"/>
  <c r="F11" i="3"/>
  <c r="E11" i="3"/>
  <c r="D11" i="3"/>
  <c r="C11" i="3"/>
  <c r="B11" i="3"/>
  <c r="AL24" i="16"/>
  <c r="AI24" i="16"/>
  <c r="AF24" i="16"/>
  <c r="AC24" i="16"/>
  <c r="Z24" i="16"/>
  <c r="W24" i="16"/>
  <c r="T24" i="16"/>
  <c r="Q24" i="16"/>
  <c r="N24" i="16"/>
  <c r="K24" i="16"/>
  <c r="D6" i="16"/>
  <c r="C6" i="16"/>
  <c r="C7" i="16"/>
  <c r="D7" i="16"/>
  <c r="F6" i="16"/>
  <c r="F24" i="16" s="1"/>
  <c r="F7" i="16"/>
  <c r="F25" i="16" s="1"/>
  <c r="G6" i="16"/>
  <c r="G7" i="16"/>
  <c r="L97" i="5" l="1"/>
  <c r="K42" i="48"/>
  <c r="L85" i="5"/>
  <c r="K37" i="48"/>
  <c r="L61" i="5"/>
  <c r="K27" i="48"/>
  <c r="L37" i="5"/>
  <c r="K17" i="48"/>
  <c r="L25" i="5"/>
  <c r="K12" i="48"/>
  <c r="L13" i="5"/>
  <c r="K7" i="48"/>
  <c r="H24" i="16"/>
  <c r="G24" i="16"/>
  <c r="E13" i="16"/>
  <c r="H13" i="16" s="1"/>
  <c r="K13" i="16" s="1"/>
  <c r="N13" i="16" s="1"/>
  <c r="Q13" i="16" s="1"/>
  <c r="T13" i="16" s="1"/>
  <c r="W13" i="16" s="1"/>
  <c r="Z13" i="16" s="1"/>
  <c r="AC13" i="16" s="1"/>
  <c r="AF13" i="16" s="1"/>
  <c r="AI13" i="16" s="1"/>
  <c r="AL13" i="16" s="1"/>
  <c r="E24" i="16"/>
  <c r="C14" i="16"/>
  <c r="F14" i="16" s="1"/>
  <c r="C25" i="16"/>
  <c r="D13" i="16"/>
  <c r="G13" i="16" s="1"/>
  <c r="D24" i="16"/>
  <c r="H25" i="16"/>
  <c r="G25" i="16"/>
  <c r="E14" i="16"/>
  <c r="H14" i="16" s="1"/>
  <c r="E25" i="16"/>
  <c r="D14" i="16"/>
  <c r="G14" i="16" s="1"/>
  <c r="D25" i="16"/>
  <c r="C13" i="16"/>
  <c r="F13" i="16" s="1"/>
  <c r="C24" i="16"/>
  <c r="J23" i="5"/>
  <c r="D11" i="24"/>
  <c r="E188" i="5"/>
  <c r="E193" i="5" s="1"/>
  <c r="F193" i="5" s="1"/>
  <c r="G193" i="5" s="1"/>
  <c r="E176" i="5"/>
  <c r="E164" i="5"/>
  <c r="E152" i="5"/>
  <c r="E157" i="5" s="1"/>
  <c r="F157" i="5" s="1"/>
  <c r="G157" i="5" s="1"/>
  <c r="E140" i="5"/>
  <c r="E145" i="5" s="1"/>
  <c r="F145" i="5" s="1"/>
  <c r="G145" i="5" s="1"/>
  <c r="E128" i="5"/>
  <c r="E133" i="5" s="1"/>
  <c r="F133" i="5" s="1"/>
  <c r="G133" i="5" s="1"/>
  <c r="E116" i="5"/>
  <c r="E121" i="5" s="1"/>
  <c r="F121" i="5" s="1"/>
  <c r="G121" i="5" s="1"/>
  <c r="H121" i="5" s="1"/>
  <c r="I121" i="5" s="1"/>
  <c r="J121" i="5" s="1"/>
  <c r="K121" i="5" s="1"/>
  <c r="L121" i="5" s="1"/>
  <c r="M121" i="5" s="1"/>
  <c r="N121" i="5" s="1"/>
  <c r="O121" i="5" s="1"/>
  <c r="P121" i="5" s="1"/>
  <c r="E104" i="5"/>
  <c r="E92" i="5"/>
  <c r="E80" i="5"/>
  <c r="C9" i="16" s="1"/>
  <c r="C16" i="16" s="1"/>
  <c r="F16" i="16" s="1"/>
  <c r="H193" i="5" l="1"/>
  <c r="G82" i="48"/>
  <c r="H157" i="5"/>
  <c r="G67" i="48"/>
  <c r="H145" i="5"/>
  <c r="G62" i="48"/>
  <c r="H133" i="5"/>
  <c r="G57" i="48"/>
  <c r="M97" i="5"/>
  <c r="L42" i="48"/>
  <c r="M85" i="5"/>
  <c r="L37" i="48"/>
  <c r="M61" i="5"/>
  <c r="L27" i="48"/>
  <c r="M37" i="5"/>
  <c r="L17" i="48"/>
  <c r="M25" i="5"/>
  <c r="L12" i="48"/>
  <c r="M13" i="5"/>
  <c r="L7" i="48"/>
  <c r="E181" i="5"/>
  <c r="E75" i="48"/>
  <c r="E109" i="5"/>
  <c r="F109" i="5" s="1"/>
  <c r="G109" i="5" s="1"/>
  <c r="D9" i="16"/>
  <c r="D16" i="16" s="1"/>
  <c r="G16" i="16" s="1"/>
  <c r="J16" i="16" s="1"/>
  <c r="M16" i="16" s="1"/>
  <c r="P16" i="16" s="1"/>
  <c r="S16" i="16" s="1"/>
  <c r="V16" i="16" s="1"/>
  <c r="Y16" i="16" s="1"/>
  <c r="AB16" i="16" s="1"/>
  <c r="AE16" i="16" s="1"/>
  <c r="AH16" i="16" s="1"/>
  <c r="AK16" i="16" s="1"/>
  <c r="E169" i="5"/>
  <c r="F169" i="5" s="1"/>
  <c r="G169" i="5" s="1"/>
  <c r="E9" i="16"/>
  <c r="E16" i="16" s="1"/>
  <c r="H16" i="16" s="1"/>
  <c r="K16" i="16" s="1"/>
  <c r="N16" i="16" s="1"/>
  <c r="Q16" i="16" s="1"/>
  <c r="T16" i="16" s="1"/>
  <c r="W16" i="16" s="1"/>
  <c r="Z16" i="16" s="1"/>
  <c r="AC16" i="16" s="1"/>
  <c r="AF16" i="16" s="1"/>
  <c r="AI16" i="16" s="1"/>
  <c r="AL16" i="16" s="1"/>
  <c r="K23" i="5"/>
  <c r="Q43" i="2"/>
  <c r="Q75" i="48" l="1"/>
  <c r="C36" i="50"/>
  <c r="C38" i="50" s="1"/>
  <c r="C4" i="50"/>
  <c r="C6" i="50" s="1"/>
  <c r="I193" i="5"/>
  <c r="H82" i="48"/>
  <c r="H169" i="5"/>
  <c r="G72" i="48"/>
  <c r="I157" i="5"/>
  <c r="H67" i="48"/>
  <c r="I145" i="5"/>
  <c r="H62" i="48"/>
  <c r="I133" i="5"/>
  <c r="H57" i="48"/>
  <c r="H109" i="5"/>
  <c r="G47" i="48"/>
  <c r="E29" i="50" s="1"/>
  <c r="E31" i="50" s="1"/>
  <c r="N97" i="5"/>
  <c r="M42" i="48"/>
  <c r="N85" i="5"/>
  <c r="M37" i="48"/>
  <c r="N61" i="5"/>
  <c r="M27" i="48"/>
  <c r="N37" i="5"/>
  <c r="M17" i="48"/>
  <c r="N25" i="5"/>
  <c r="M12" i="48"/>
  <c r="N13" i="5"/>
  <c r="M7" i="48"/>
  <c r="F181" i="5"/>
  <c r="E77" i="48"/>
  <c r="L23" i="5"/>
  <c r="O42" i="2"/>
  <c r="AB54" i="2"/>
  <c r="AB53" i="2"/>
  <c r="AA44" i="2"/>
  <c r="Y44" i="2"/>
  <c r="W44" i="2"/>
  <c r="U44" i="2"/>
  <c r="S44" i="2"/>
  <c r="Q44" i="2"/>
  <c r="O44" i="2"/>
  <c r="M44" i="2"/>
  <c r="K44" i="2"/>
  <c r="I44" i="2"/>
  <c r="G44" i="2"/>
  <c r="E44" i="2"/>
  <c r="AA43" i="2"/>
  <c r="Y43" i="2"/>
  <c r="W43" i="2"/>
  <c r="U43" i="2"/>
  <c r="S43" i="2"/>
  <c r="O43" i="2"/>
  <c r="M43" i="2"/>
  <c r="K43" i="2"/>
  <c r="I43" i="2"/>
  <c r="G43" i="2"/>
  <c r="E10" i="53" s="1"/>
  <c r="E43" i="2"/>
  <c r="C10" i="53" s="1"/>
  <c r="AA42" i="2"/>
  <c r="Y42" i="2"/>
  <c r="W42" i="2"/>
  <c r="U42" i="2"/>
  <c r="S42" i="2"/>
  <c r="Q42" i="2"/>
  <c r="M42" i="2"/>
  <c r="K42" i="2"/>
  <c r="I42" i="2"/>
  <c r="G42" i="2"/>
  <c r="E42" i="2"/>
  <c r="AA41" i="2"/>
  <c r="Y41" i="2"/>
  <c r="W41" i="2"/>
  <c r="U41" i="2"/>
  <c r="S41" i="2"/>
  <c r="Q41" i="2"/>
  <c r="O41" i="2"/>
  <c r="M41" i="2"/>
  <c r="K41" i="2"/>
  <c r="I41" i="2"/>
  <c r="G41" i="2"/>
  <c r="E41" i="2"/>
  <c r="AA40" i="2"/>
  <c r="AA45" i="2" s="1"/>
  <c r="Y40" i="2"/>
  <c r="Y45" i="2" s="1"/>
  <c r="W40" i="2"/>
  <c r="W45" i="2" s="1"/>
  <c r="U40" i="2"/>
  <c r="U45" i="2" s="1"/>
  <c r="S40" i="2"/>
  <c r="S45" i="2" s="1"/>
  <c r="Q40" i="2"/>
  <c r="Q45" i="2" s="1"/>
  <c r="O40" i="2"/>
  <c r="M40" i="2"/>
  <c r="M45" i="2" s="1"/>
  <c r="K40" i="2"/>
  <c r="I40" i="2"/>
  <c r="I45" i="2" s="1"/>
  <c r="G40" i="2"/>
  <c r="E9" i="53" s="1"/>
  <c r="E40" i="2"/>
  <c r="C9" i="53" s="1"/>
  <c r="AA39" i="2"/>
  <c r="Y39" i="2"/>
  <c r="W39" i="2"/>
  <c r="U39" i="2"/>
  <c r="S39" i="2"/>
  <c r="Q39" i="2"/>
  <c r="O39" i="2"/>
  <c r="M39" i="2"/>
  <c r="K39" i="2"/>
  <c r="I39" i="2"/>
  <c r="G39" i="2"/>
  <c r="E39" i="2"/>
  <c r="Q30" i="2"/>
  <c r="AB29" i="2"/>
  <c r="AA29" i="2"/>
  <c r="Y29" i="2"/>
  <c r="W29" i="2"/>
  <c r="U29" i="2"/>
  <c r="S29" i="2"/>
  <c r="Q29" i="2"/>
  <c r="O29" i="2"/>
  <c r="M29" i="2"/>
  <c r="K29" i="2"/>
  <c r="I29" i="2"/>
  <c r="G29" i="2"/>
  <c r="E29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B27" i="2"/>
  <c r="AA27" i="2"/>
  <c r="Y27" i="2"/>
  <c r="W27" i="2"/>
  <c r="U27" i="2"/>
  <c r="S27" i="2"/>
  <c r="Q27" i="2"/>
  <c r="O27" i="2"/>
  <c r="M27" i="2"/>
  <c r="K27" i="2"/>
  <c r="I27" i="2"/>
  <c r="G27" i="2"/>
  <c r="E27" i="2"/>
  <c r="AB26" i="2"/>
  <c r="AA26" i="2"/>
  <c r="AA32" i="2" s="1"/>
  <c r="Y26" i="2"/>
  <c r="Y32" i="2" s="1"/>
  <c r="W26" i="2"/>
  <c r="U26" i="2"/>
  <c r="S26" i="2"/>
  <c r="Q26" i="2"/>
  <c r="Q32" i="2" s="1"/>
  <c r="O26" i="2"/>
  <c r="M26" i="2"/>
  <c r="K26" i="2"/>
  <c r="I26" i="2"/>
  <c r="G26" i="2"/>
  <c r="E15" i="53" s="1"/>
  <c r="E26" i="2"/>
  <c r="C15" i="53" s="1"/>
  <c r="AA25" i="2"/>
  <c r="AA31" i="2" s="1"/>
  <c r="Y25" i="2"/>
  <c r="Y31" i="2" s="1"/>
  <c r="W25" i="2"/>
  <c r="W31" i="2" s="1"/>
  <c r="U25" i="2"/>
  <c r="U31" i="2" s="1"/>
  <c r="S25" i="2"/>
  <c r="S31" i="2" s="1"/>
  <c r="Q25" i="2"/>
  <c r="Q31" i="2" s="1"/>
  <c r="O25" i="2"/>
  <c r="O31" i="2" s="1"/>
  <c r="M25" i="2"/>
  <c r="M31" i="2" s="1"/>
  <c r="K25" i="2"/>
  <c r="K31" i="2" s="1"/>
  <c r="I25" i="2"/>
  <c r="I31" i="2" s="1"/>
  <c r="G25" i="2"/>
  <c r="G31" i="2" s="1"/>
  <c r="E25" i="2"/>
  <c r="E31" i="2" s="1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39" i="50" l="1"/>
  <c r="C41" i="50" s="1"/>
  <c r="C7" i="50"/>
  <c r="C9" i="50" s="1"/>
  <c r="J193" i="5"/>
  <c r="I82" i="48"/>
  <c r="I169" i="5"/>
  <c r="H72" i="48"/>
  <c r="J157" i="5"/>
  <c r="I67" i="48"/>
  <c r="J145" i="5"/>
  <c r="I62" i="48"/>
  <c r="J133" i="5"/>
  <c r="I57" i="48"/>
  <c r="I109" i="5"/>
  <c r="H47" i="48"/>
  <c r="F29" i="50" s="1"/>
  <c r="F31" i="50" s="1"/>
  <c r="O97" i="5"/>
  <c r="N42" i="48"/>
  <c r="O85" i="5"/>
  <c r="N37" i="48"/>
  <c r="O61" i="5"/>
  <c r="N27" i="48"/>
  <c r="O37" i="5"/>
  <c r="N17" i="48"/>
  <c r="O25" i="5"/>
  <c r="N12" i="48"/>
  <c r="O13" i="5"/>
  <c r="N7" i="48"/>
  <c r="E45" i="2"/>
  <c r="AB56" i="2"/>
  <c r="G181" i="5"/>
  <c r="F77" i="48"/>
  <c r="C7" i="10"/>
  <c r="C70" i="10" s="1"/>
  <c r="M23" i="5"/>
  <c r="S32" i="2"/>
  <c r="G45" i="2"/>
  <c r="K45" i="2"/>
  <c r="O45" i="2"/>
  <c r="AA15" i="2"/>
  <c r="AA17" i="2" s="1"/>
  <c r="Z15" i="2"/>
  <c r="Y15" i="2"/>
  <c r="Y17" i="2" s="1"/>
  <c r="X15" i="2"/>
  <c r="W15" i="2"/>
  <c r="W17" i="2" s="1"/>
  <c r="V15" i="2"/>
  <c r="U15" i="2"/>
  <c r="U17" i="2" s="1"/>
  <c r="T15" i="2"/>
  <c r="S15" i="2"/>
  <c r="S17" i="2" s="1"/>
  <c r="R15" i="2"/>
  <c r="Q15" i="2"/>
  <c r="Q17" i="2" s="1"/>
  <c r="P15" i="2"/>
  <c r="O15" i="2"/>
  <c r="N15" i="2"/>
  <c r="M15" i="2"/>
  <c r="M17" i="2" s="1"/>
  <c r="L15" i="2"/>
  <c r="K15" i="2"/>
  <c r="J15" i="2"/>
  <c r="I15" i="2"/>
  <c r="H15" i="2"/>
  <c r="G15" i="2"/>
  <c r="E22" i="53" s="1"/>
  <c r="F15" i="2"/>
  <c r="D22" i="53" s="1"/>
  <c r="E15" i="2"/>
  <c r="C22" i="53" s="1"/>
  <c r="D15" i="2"/>
  <c r="B22" i="53" s="1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O17" i="2" s="1"/>
  <c r="N11" i="2"/>
  <c r="M11" i="2"/>
  <c r="L11" i="2"/>
  <c r="K11" i="2"/>
  <c r="K17" i="2" s="1"/>
  <c r="J11" i="2"/>
  <c r="I11" i="2"/>
  <c r="I17" i="2" s="1"/>
  <c r="H11" i="2"/>
  <c r="G11" i="2"/>
  <c r="F11" i="2"/>
  <c r="D21" i="53" s="1"/>
  <c r="E11" i="2"/>
  <c r="D11" i="2"/>
  <c r="B21" i="53" s="1"/>
  <c r="AA10" i="2"/>
  <c r="AA16" i="2" s="1"/>
  <c r="Z10" i="2"/>
  <c r="Y10" i="2"/>
  <c r="Y16" i="2" s="1"/>
  <c r="X10" i="2"/>
  <c r="W10" i="2"/>
  <c r="W16" i="2" s="1"/>
  <c r="V10" i="2"/>
  <c r="U10" i="2"/>
  <c r="U16" i="2" s="1"/>
  <c r="T10" i="2"/>
  <c r="S10" i="2"/>
  <c r="S16" i="2" s="1"/>
  <c r="R10" i="2"/>
  <c r="Q10" i="2"/>
  <c r="Q16" i="2" s="1"/>
  <c r="P10" i="2"/>
  <c r="O10" i="2"/>
  <c r="O16" i="2" s="1"/>
  <c r="N10" i="2"/>
  <c r="M10" i="2"/>
  <c r="M16" i="2" s="1"/>
  <c r="L10" i="2"/>
  <c r="K10" i="2"/>
  <c r="K16" i="2" s="1"/>
  <c r="J10" i="2"/>
  <c r="I10" i="2"/>
  <c r="I16" i="2" s="1"/>
  <c r="H10" i="2"/>
  <c r="G10" i="2"/>
  <c r="G16" i="2" s="1"/>
  <c r="F10" i="2"/>
  <c r="E10" i="2"/>
  <c r="E16" i="2" s="1"/>
  <c r="D10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39" i="50" l="1"/>
  <c r="D41" i="50" s="1"/>
  <c r="D7" i="50"/>
  <c r="D9" i="50" s="1"/>
  <c r="K193" i="5"/>
  <c r="J82" i="48"/>
  <c r="J169" i="5"/>
  <c r="I72" i="48"/>
  <c r="K157" i="5"/>
  <c r="J67" i="48"/>
  <c r="K145" i="5"/>
  <c r="J62" i="48"/>
  <c r="K133" i="5"/>
  <c r="J57" i="48"/>
  <c r="J109" i="5"/>
  <c r="I47" i="48"/>
  <c r="G29" i="50" s="1"/>
  <c r="G31" i="50" s="1"/>
  <c r="P97" i="5"/>
  <c r="P42" i="48" s="1"/>
  <c r="O42" i="48"/>
  <c r="P85" i="5"/>
  <c r="P37" i="48" s="1"/>
  <c r="O37" i="48"/>
  <c r="P61" i="5"/>
  <c r="P27" i="48" s="1"/>
  <c r="O27" i="48"/>
  <c r="P37" i="5"/>
  <c r="P17" i="48" s="1"/>
  <c r="O17" i="48"/>
  <c r="P25" i="5"/>
  <c r="P12" i="48" s="1"/>
  <c r="O12" i="48"/>
  <c r="P13" i="5"/>
  <c r="P7" i="48" s="1"/>
  <c r="O7" i="48"/>
  <c r="E17" i="2"/>
  <c r="C21" i="53"/>
  <c r="G17" i="2"/>
  <c r="E21" i="53"/>
  <c r="C84" i="10"/>
  <c r="H181" i="5"/>
  <c r="G77" i="48"/>
  <c r="E39" i="50" s="1"/>
  <c r="E41" i="50" s="1"/>
  <c r="C35" i="10"/>
  <c r="C28" i="10"/>
  <c r="C14" i="10"/>
  <c r="C63" i="10"/>
  <c r="C56" i="10"/>
  <c r="C21" i="10"/>
  <c r="C49" i="10"/>
  <c r="C77" i="10"/>
  <c r="C42" i="10"/>
  <c r="D16" i="2"/>
  <c r="D17" i="2"/>
  <c r="F17" i="2"/>
  <c r="F16" i="2"/>
  <c r="H17" i="2"/>
  <c r="H16" i="2"/>
  <c r="J17" i="2"/>
  <c r="J16" i="2"/>
  <c r="L17" i="2"/>
  <c r="L16" i="2"/>
  <c r="N17" i="2"/>
  <c r="N16" i="2"/>
  <c r="P17" i="2"/>
  <c r="P16" i="2"/>
  <c r="R17" i="2"/>
  <c r="R16" i="2"/>
  <c r="T17" i="2"/>
  <c r="T16" i="2"/>
  <c r="V17" i="2"/>
  <c r="V16" i="2"/>
  <c r="X17" i="2"/>
  <c r="X16" i="2"/>
  <c r="Z17" i="2"/>
  <c r="Z16" i="2"/>
  <c r="N23" i="5"/>
  <c r="C8" i="10"/>
  <c r="C78" i="10" s="1"/>
  <c r="W388" i="21"/>
  <c r="W387" i="21"/>
  <c r="W386" i="21"/>
  <c r="W385" i="21"/>
  <c r="W384" i="21"/>
  <c r="W383" i="21"/>
  <c r="W382" i="21"/>
  <c r="W381" i="21"/>
  <c r="W380" i="21"/>
  <c r="W379" i="21"/>
  <c r="W378" i="21"/>
  <c r="W377" i="21"/>
  <c r="W376" i="21"/>
  <c r="W375" i="21"/>
  <c r="W374" i="21"/>
  <c r="W373" i="21"/>
  <c r="W372" i="21"/>
  <c r="W371" i="21"/>
  <c r="W370" i="21"/>
  <c r="W369" i="21"/>
  <c r="W368" i="21"/>
  <c r="W367" i="21"/>
  <c r="W366" i="21"/>
  <c r="W365" i="21"/>
  <c r="W364" i="21"/>
  <c r="W363" i="21"/>
  <c r="W362" i="21"/>
  <c r="W361" i="21"/>
  <c r="W360" i="21"/>
  <c r="W359" i="21"/>
  <c r="W358" i="21"/>
  <c r="W357" i="21"/>
  <c r="W356" i="21"/>
  <c r="W355" i="21"/>
  <c r="W354" i="21"/>
  <c r="W353" i="21"/>
  <c r="W352" i="21"/>
  <c r="W351" i="21"/>
  <c r="W350" i="21"/>
  <c r="W349" i="21"/>
  <c r="W348" i="21"/>
  <c r="W347" i="21"/>
  <c r="W346" i="21"/>
  <c r="W345" i="21"/>
  <c r="W344" i="21"/>
  <c r="W342" i="21"/>
  <c r="V342" i="21" s="1"/>
  <c r="V341" i="21"/>
  <c r="U341" i="21"/>
  <c r="T341" i="21"/>
  <c r="S341" i="21"/>
  <c r="R341" i="21"/>
  <c r="Q341" i="21"/>
  <c r="P341" i="21"/>
  <c r="O341" i="21"/>
  <c r="N341" i="21"/>
  <c r="M341" i="21"/>
  <c r="L341" i="21"/>
  <c r="K341" i="21"/>
  <c r="W340" i="21"/>
  <c r="V339" i="21"/>
  <c r="U339" i="21"/>
  <c r="T339" i="21"/>
  <c r="S339" i="21"/>
  <c r="R339" i="21"/>
  <c r="Q339" i="21"/>
  <c r="P339" i="21"/>
  <c r="O339" i="21"/>
  <c r="N339" i="21"/>
  <c r="M339" i="21"/>
  <c r="L339" i="21"/>
  <c r="K339" i="21"/>
  <c r="V338" i="21"/>
  <c r="V340" i="21" s="1"/>
  <c r="U338" i="21"/>
  <c r="U340" i="21" s="1"/>
  <c r="T338" i="21"/>
  <c r="T340" i="21" s="1"/>
  <c r="S338" i="21"/>
  <c r="S340" i="21" s="1"/>
  <c r="R338" i="21"/>
  <c r="R340" i="21" s="1"/>
  <c r="Q338" i="21"/>
  <c r="Q340" i="21" s="1"/>
  <c r="P338" i="21"/>
  <c r="P340" i="21" s="1"/>
  <c r="O338" i="21"/>
  <c r="O340" i="21" s="1"/>
  <c r="N338" i="21"/>
  <c r="N340" i="21" s="1"/>
  <c r="M338" i="21"/>
  <c r="M340" i="21" s="1"/>
  <c r="L338" i="21"/>
  <c r="L340" i="21" s="1"/>
  <c r="K338" i="21"/>
  <c r="K340" i="21" s="1"/>
  <c r="X337" i="21"/>
  <c r="V336" i="21"/>
  <c r="U336" i="21"/>
  <c r="T336" i="21"/>
  <c r="S336" i="21"/>
  <c r="R336" i="21"/>
  <c r="Q336" i="21"/>
  <c r="P336" i="21"/>
  <c r="O336" i="21"/>
  <c r="N336" i="21"/>
  <c r="M336" i="21"/>
  <c r="L336" i="21"/>
  <c r="K336" i="21"/>
  <c r="V335" i="21"/>
  <c r="U335" i="21"/>
  <c r="T335" i="21"/>
  <c r="S335" i="21"/>
  <c r="R335" i="21"/>
  <c r="Q335" i="21"/>
  <c r="P335" i="21"/>
  <c r="O335" i="21"/>
  <c r="N335" i="21"/>
  <c r="M335" i="21"/>
  <c r="L335" i="21"/>
  <c r="K335" i="21"/>
  <c r="W334" i="21"/>
  <c r="V333" i="21"/>
  <c r="U333" i="21"/>
  <c r="T333" i="21"/>
  <c r="S333" i="21"/>
  <c r="R333" i="21"/>
  <c r="Q333" i="21"/>
  <c r="P333" i="21"/>
  <c r="O333" i="21"/>
  <c r="N333" i="21"/>
  <c r="M333" i="21"/>
  <c r="L333" i="21"/>
  <c r="K333" i="21"/>
  <c r="V332" i="21"/>
  <c r="U332" i="21"/>
  <c r="U334" i="21" s="1"/>
  <c r="T332" i="21"/>
  <c r="S332" i="21"/>
  <c r="S334" i="21" s="1"/>
  <c r="R332" i="21"/>
  <c r="Q332" i="21"/>
  <c r="Q334" i="21" s="1"/>
  <c r="P332" i="21"/>
  <c r="O332" i="21"/>
  <c r="O334" i="21" s="1"/>
  <c r="N332" i="21"/>
  <c r="M332" i="21"/>
  <c r="M334" i="21" s="1"/>
  <c r="L332" i="21"/>
  <c r="K332" i="21"/>
  <c r="K334" i="21" s="1"/>
  <c r="X334" i="21" s="1"/>
  <c r="W331" i="21"/>
  <c r="V330" i="21"/>
  <c r="U330" i="21"/>
  <c r="T330" i="21"/>
  <c r="S330" i="21"/>
  <c r="R330" i="21"/>
  <c r="Q330" i="21"/>
  <c r="P330" i="21"/>
  <c r="O330" i="21"/>
  <c r="N330" i="21"/>
  <c r="M330" i="21"/>
  <c r="L330" i="21"/>
  <c r="K330" i="21"/>
  <c r="V329" i="21"/>
  <c r="U329" i="21"/>
  <c r="U331" i="21" s="1"/>
  <c r="T329" i="21"/>
  <c r="S329" i="21"/>
  <c r="S331" i="21" s="1"/>
  <c r="R329" i="21"/>
  <c r="Q329" i="21"/>
  <c r="Q331" i="21" s="1"/>
  <c r="P329" i="21"/>
  <c r="O329" i="21"/>
  <c r="O331" i="21" s="1"/>
  <c r="N329" i="21"/>
  <c r="M329" i="21"/>
  <c r="M331" i="21" s="1"/>
  <c r="L329" i="21"/>
  <c r="K329" i="21"/>
  <c r="K331" i="21" s="1"/>
  <c r="X331" i="21" s="1"/>
  <c r="W328" i="21"/>
  <c r="V327" i="21"/>
  <c r="U327" i="21"/>
  <c r="T327" i="21"/>
  <c r="S327" i="21"/>
  <c r="R327" i="21"/>
  <c r="Q327" i="21"/>
  <c r="P327" i="21"/>
  <c r="O327" i="21"/>
  <c r="N327" i="21"/>
  <c r="M327" i="21"/>
  <c r="L327" i="21"/>
  <c r="K327" i="21"/>
  <c r="V326" i="21"/>
  <c r="U326" i="21"/>
  <c r="U328" i="21" s="1"/>
  <c r="T326" i="21"/>
  <c r="S326" i="21"/>
  <c r="S328" i="21" s="1"/>
  <c r="R326" i="21"/>
  <c r="Q326" i="21"/>
  <c r="Q328" i="21" s="1"/>
  <c r="P326" i="21"/>
  <c r="O326" i="21"/>
  <c r="O328" i="21" s="1"/>
  <c r="N326" i="21"/>
  <c r="M326" i="21"/>
  <c r="M328" i="21" s="1"/>
  <c r="L326" i="21"/>
  <c r="K326" i="21"/>
  <c r="K328" i="21" s="1"/>
  <c r="X328" i="21" s="1"/>
  <c r="W325" i="21"/>
  <c r="V324" i="21"/>
  <c r="U324" i="21"/>
  <c r="T324" i="21"/>
  <c r="S324" i="21"/>
  <c r="R324" i="21"/>
  <c r="Q324" i="21"/>
  <c r="P324" i="21"/>
  <c r="O324" i="21"/>
  <c r="N324" i="21"/>
  <c r="M324" i="21"/>
  <c r="L324" i="21"/>
  <c r="K324" i="21"/>
  <c r="V323" i="21"/>
  <c r="U323" i="21"/>
  <c r="U325" i="21" s="1"/>
  <c r="T323" i="21"/>
  <c r="S323" i="21"/>
  <c r="R323" i="21"/>
  <c r="Q323" i="21"/>
  <c r="Q325" i="21" s="1"/>
  <c r="P323" i="21"/>
  <c r="O323" i="21"/>
  <c r="N323" i="21"/>
  <c r="M323" i="21"/>
  <c r="M325" i="21" s="1"/>
  <c r="L323" i="21"/>
  <c r="K323" i="21"/>
  <c r="X322" i="21"/>
  <c r="W322" i="21"/>
  <c r="W321" i="21"/>
  <c r="V320" i="21"/>
  <c r="U320" i="21"/>
  <c r="T320" i="21"/>
  <c r="S320" i="21"/>
  <c r="R320" i="21"/>
  <c r="Q320" i="21"/>
  <c r="P320" i="21"/>
  <c r="O320" i="21"/>
  <c r="N320" i="21"/>
  <c r="M320" i="21"/>
  <c r="L320" i="21"/>
  <c r="K320" i="21"/>
  <c r="V319" i="21"/>
  <c r="U319" i="21"/>
  <c r="U321" i="21" s="1"/>
  <c r="T319" i="21"/>
  <c r="S319" i="21"/>
  <c r="R319" i="21"/>
  <c r="Q319" i="21"/>
  <c r="Q321" i="21" s="1"/>
  <c r="P319" i="21"/>
  <c r="O319" i="21"/>
  <c r="N319" i="21"/>
  <c r="M319" i="21"/>
  <c r="M321" i="21" s="1"/>
  <c r="L319" i="21"/>
  <c r="K319" i="21"/>
  <c r="W317" i="21"/>
  <c r="W316" i="21"/>
  <c r="U316" i="21" s="1"/>
  <c r="V315" i="21"/>
  <c r="U315" i="21"/>
  <c r="T315" i="21"/>
  <c r="S315" i="21"/>
  <c r="R315" i="21"/>
  <c r="Q315" i="21"/>
  <c r="P315" i="21"/>
  <c r="O315" i="21"/>
  <c r="N315" i="21"/>
  <c r="M315" i="21"/>
  <c r="L315" i="21"/>
  <c r="K315" i="21"/>
  <c r="V314" i="21"/>
  <c r="U314" i="21"/>
  <c r="T314" i="21"/>
  <c r="S314" i="21"/>
  <c r="R314" i="21"/>
  <c r="Q314" i="21"/>
  <c r="P314" i="21"/>
  <c r="O314" i="21"/>
  <c r="N314" i="21"/>
  <c r="M314" i="21"/>
  <c r="L314" i="21"/>
  <c r="K314" i="21"/>
  <c r="V313" i="21"/>
  <c r="U313" i="21"/>
  <c r="T313" i="21"/>
  <c r="S313" i="21"/>
  <c r="R313" i="21"/>
  <c r="Q313" i="21"/>
  <c r="P313" i="21"/>
  <c r="O313" i="21"/>
  <c r="N313" i="21"/>
  <c r="M313" i="21"/>
  <c r="L313" i="21"/>
  <c r="K313" i="21"/>
  <c r="V312" i="21"/>
  <c r="U312" i="21"/>
  <c r="U317" i="21" s="1"/>
  <c r="T312" i="21"/>
  <c r="S312" i="21"/>
  <c r="R312" i="21"/>
  <c r="Q312" i="21"/>
  <c r="Q317" i="21" s="1"/>
  <c r="P312" i="21"/>
  <c r="O312" i="21"/>
  <c r="N312" i="21"/>
  <c r="M312" i="21"/>
  <c r="M317" i="21" s="1"/>
  <c r="L312" i="21"/>
  <c r="K312" i="21"/>
  <c r="W310" i="21"/>
  <c r="W309" i="21"/>
  <c r="W311" i="21" s="1"/>
  <c r="O309" i="21"/>
  <c r="V308" i="21"/>
  <c r="U308" i="21"/>
  <c r="T308" i="21"/>
  <c r="S308" i="21"/>
  <c r="R308" i="21"/>
  <c r="Q308" i="21"/>
  <c r="P308" i="21"/>
  <c r="O308" i="21"/>
  <c r="N308" i="21"/>
  <c r="M308" i="21"/>
  <c r="L308" i="21"/>
  <c r="K308" i="21"/>
  <c r="V307" i="21"/>
  <c r="U307" i="21"/>
  <c r="T307" i="21"/>
  <c r="S307" i="21"/>
  <c r="R307" i="21"/>
  <c r="Q307" i="21"/>
  <c r="P307" i="21"/>
  <c r="O307" i="21"/>
  <c r="N307" i="21"/>
  <c r="M307" i="21"/>
  <c r="L307" i="21"/>
  <c r="K307" i="21"/>
  <c r="V306" i="21"/>
  <c r="U306" i="21"/>
  <c r="T306" i="21"/>
  <c r="S306" i="21"/>
  <c r="R306" i="21"/>
  <c r="Q306" i="21"/>
  <c r="P306" i="21"/>
  <c r="O306" i="21"/>
  <c r="N306" i="21"/>
  <c r="M306" i="21"/>
  <c r="L306" i="21"/>
  <c r="K306" i="21"/>
  <c r="V305" i="21"/>
  <c r="U305" i="21"/>
  <c r="U310" i="21" s="1"/>
  <c r="T305" i="21"/>
  <c r="S305" i="21"/>
  <c r="S310" i="21" s="1"/>
  <c r="R305" i="21"/>
  <c r="Q305" i="21"/>
  <c r="Q310" i="21" s="1"/>
  <c r="P305" i="21"/>
  <c r="O305" i="21"/>
  <c r="O310" i="21" s="1"/>
  <c r="N305" i="21"/>
  <c r="M305" i="21"/>
  <c r="M310" i="21" s="1"/>
  <c r="L305" i="21"/>
  <c r="K305" i="21"/>
  <c r="K310" i="21" s="1"/>
  <c r="X310" i="21" s="1"/>
  <c r="W303" i="21"/>
  <c r="W302" i="21"/>
  <c r="U302" i="21" s="1"/>
  <c r="V301" i="21"/>
  <c r="U301" i="21"/>
  <c r="T301" i="21"/>
  <c r="S301" i="21"/>
  <c r="R301" i="21"/>
  <c r="Q301" i="21"/>
  <c r="P301" i="21"/>
  <c r="O301" i="21"/>
  <c r="N301" i="21"/>
  <c r="M301" i="21"/>
  <c r="L301" i="21"/>
  <c r="K301" i="21"/>
  <c r="V300" i="21"/>
  <c r="U300" i="21"/>
  <c r="T300" i="21"/>
  <c r="S300" i="21"/>
  <c r="R300" i="21"/>
  <c r="Q300" i="21"/>
  <c r="P300" i="21"/>
  <c r="O300" i="21"/>
  <c r="N300" i="21"/>
  <c r="M300" i="21"/>
  <c r="L300" i="21"/>
  <c r="K300" i="21"/>
  <c r="V299" i="21"/>
  <c r="U299" i="21"/>
  <c r="T299" i="21"/>
  <c r="S299" i="21"/>
  <c r="R299" i="21"/>
  <c r="Q299" i="21"/>
  <c r="P299" i="21"/>
  <c r="O299" i="21"/>
  <c r="N299" i="21"/>
  <c r="M299" i="21"/>
  <c r="L299" i="21"/>
  <c r="K299" i="21"/>
  <c r="V298" i="21"/>
  <c r="U298" i="21"/>
  <c r="U303" i="21" s="1"/>
  <c r="T298" i="21"/>
  <c r="S298" i="21"/>
  <c r="R298" i="21"/>
  <c r="Q298" i="21"/>
  <c r="Q303" i="21" s="1"/>
  <c r="P298" i="21"/>
  <c r="O298" i="21"/>
  <c r="N298" i="21"/>
  <c r="M298" i="21"/>
  <c r="M303" i="21" s="1"/>
  <c r="L298" i="21"/>
  <c r="K298" i="21"/>
  <c r="W296" i="21"/>
  <c r="W295" i="21"/>
  <c r="U295" i="21" s="1"/>
  <c r="V294" i="21"/>
  <c r="U294" i="21"/>
  <c r="T294" i="21"/>
  <c r="S294" i="21"/>
  <c r="R294" i="21"/>
  <c r="Q294" i="21"/>
  <c r="P294" i="21"/>
  <c r="O294" i="21"/>
  <c r="N294" i="21"/>
  <c r="M294" i="21"/>
  <c r="L294" i="21"/>
  <c r="K294" i="21"/>
  <c r="V293" i="21"/>
  <c r="U293" i="21"/>
  <c r="T293" i="21"/>
  <c r="S293" i="21"/>
  <c r="R293" i="21"/>
  <c r="Q293" i="21"/>
  <c r="P293" i="21"/>
  <c r="O293" i="21"/>
  <c r="N293" i="21"/>
  <c r="M293" i="21"/>
  <c r="L293" i="21"/>
  <c r="K293" i="21"/>
  <c r="V292" i="21"/>
  <c r="U292" i="21"/>
  <c r="T292" i="21"/>
  <c r="S292" i="21"/>
  <c r="R292" i="21"/>
  <c r="Q292" i="21"/>
  <c r="P292" i="21"/>
  <c r="O292" i="21"/>
  <c r="N292" i="21"/>
  <c r="M292" i="21"/>
  <c r="L292" i="21"/>
  <c r="K292" i="21"/>
  <c r="V291" i="21"/>
  <c r="U291" i="21"/>
  <c r="T291" i="21"/>
  <c r="S291" i="21"/>
  <c r="R291" i="21"/>
  <c r="Q291" i="21"/>
  <c r="P291" i="21"/>
  <c r="O291" i="21"/>
  <c r="N291" i="21"/>
  <c r="M291" i="21"/>
  <c r="L291" i="21"/>
  <c r="K291" i="21"/>
  <c r="W289" i="21"/>
  <c r="W288" i="21"/>
  <c r="W290" i="21" s="1"/>
  <c r="O288" i="21"/>
  <c r="V287" i="21"/>
  <c r="U287" i="21"/>
  <c r="T287" i="21"/>
  <c r="S287" i="21"/>
  <c r="R287" i="21"/>
  <c r="Q287" i="21"/>
  <c r="P287" i="21"/>
  <c r="O287" i="21"/>
  <c r="N287" i="21"/>
  <c r="M287" i="21"/>
  <c r="L287" i="21"/>
  <c r="K287" i="21"/>
  <c r="V286" i="21"/>
  <c r="U286" i="21"/>
  <c r="T286" i="21"/>
  <c r="S286" i="21"/>
  <c r="R286" i="21"/>
  <c r="Q286" i="21"/>
  <c r="P286" i="21"/>
  <c r="O286" i="21"/>
  <c r="N286" i="21"/>
  <c r="M286" i="21"/>
  <c r="L286" i="21"/>
  <c r="K286" i="21"/>
  <c r="V285" i="21"/>
  <c r="U285" i="21"/>
  <c r="T285" i="21"/>
  <c r="S285" i="21"/>
  <c r="R285" i="21"/>
  <c r="Q285" i="21"/>
  <c r="P285" i="21"/>
  <c r="O285" i="21"/>
  <c r="N285" i="21"/>
  <c r="M285" i="21"/>
  <c r="L285" i="21"/>
  <c r="K285" i="21"/>
  <c r="V284" i="21"/>
  <c r="V289" i="21" s="1"/>
  <c r="U284" i="21"/>
  <c r="T284" i="21"/>
  <c r="T289" i="21" s="1"/>
  <c r="S284" i="21"/>
  <c r="R284" i="21"/>
  <c r="R289" i="21" s="1"/>
  <c r="Q284" i="21"/>
  <c r="P284" i="21"/>
  <c r="P289" i="21" s="1"/>
  <c r="O284" i="21"/>
  <c r="N284" i="21"/>
  <c r="N289" i="21" s="1"/>
  <c r="M284" i="21"/>
  <c r="L284" i="21"/>
  <c r="L289" i="21" s="1"/>
  <c r="K284" i="21"/>
  <c r="W282" i="21"/>
  <c r="W281" i="21"/>
  <c r="W283" i="21" s="1"/>
  <c r="V280" i="21"/>
  <c r="U280" i="21"/>
  <c r="T280" i="21"/>
  <c r="S280" i="21"/>
  <c r="R280" i="21"/>
  <c r="Q280" i="21"/>
  <c r="P280" i="21"/>
  <c r="O280" i="21"/>
  <c r="N280" i="21"/>
  <c r="M280" i="21"/>
  <c r="L280" i="21"/>
  <c r="K280" i="21"/>
  <c r="V279" i="21"/>
  <c r="U279" i="21"/>
  <c r="T279" i="21"/>
  <c r="S279" i="21"/>
  <c r="R279" i="21"/>
  <c r="Q279" i="21"/>
  <c r="P279" i="21"/>
  <c r="O279" i="21"/>
  <c r="N279" i="21"/>
  <c r="M279" i="21"/>
  <c r="L279" i="21"/>
  <c r="K279" i="21"/>
  <c r="V278" i="21"/>
  <c r="U278" i="21"/>
  <c r="T278" i="21"/>
  <c r="S278" i="21"/>
  <c r="R278" i="21"/>
  <c r="Q278" i="21"/>
  <c r="P278" i="21"/>
  <c r="O278" i="21"/>
  <c r="N278" i="21"/>
  <c r="M278" i="21"/>
  <c r="L278" i="21"/>
  <c r="K278" i="21"/>
  <c r="V277" i="21"/>
  <c r="V282" i="21" s="1"/>
  <c r="U277" i="21"/>
  <c r="T277" i="21"/>
  <c r="T282" i="21" s="1"/>
  <c r="S277" i="21"/>
  <c r="R277" i="21"/>
  <c r="R282" i="21" s="1"/>
  <c r="Q277" i="21"/>
  <c r="P277" i="21"/>
  <c r="P282" i="21" s="1"/>
  <c r="O277" i="21"/>
  <c r="N277" i="21"/>
  <c r="N282" i="21" s="1"/>
  <c r="M277" i="21"/>
  <c r="L277" i="21"/>
  <c r="L282" i="21" s="1"/>
  <c r="K277" i="21"/>
  <c r="W275" i="21"/>
  <c r="W274" i="21"/>
  <c r="W276" i="21" s="1"/>
  <c r="O274" i="21"/>
  <c r="V273" i="21"/>
  <c r="U273" i="21"/>
  <c r="T273" i="21"/>
  <c r="S273" i="21"/>
  <c r="R273" i="21"/>
  <c r="Q273" i="21"/>
  <c r="P273" i="21"/>
  <c r="O273" i="21"/>
  <c r="N273" i="21"/>
  <c r="M273" i="21"/>
  <c r="L273" i="21"/>
  <c r="K273" i="21"/>
  <c r="V272" i="21"/>
  <c r="U272" i="21"/>
  <c r="T272" i="21"/>
  <c r="S272" i="21"/>
  <c r="R272" i="21"/>
  <c r="Q272" i="21"/>
  <c r="P272" i="21"/>
  <c r="O272" i="21"/>
  <c r="N272" i="21"/>
  <c r="M272" i="21"/>
  <c r="L272" i="21"/>
  <c r="K272" i="21"/>
  <c r="V271" i="21"/>
  <c r="U271" i="21"/>
  <c r="T271" i="21"/>
  <c r="S271" i="21"/>
  <c r="R271" i="21"/>
  <c r="Q271" i="21"/>
  <c r="P271" i="21"/>
  <c r="O271" i="21"/>
  <c r="N271" i="21"/>
  <c r="M271" i="21"/>
  <c r="L271" i="21"/>
  <c r="K271" i="21"/>
  <c r="V270" i="21"/>
  <c r="V275" i="21" s="1"/>
  <c r="U270" i="21"/>
  <c r="T270" i="21"/>
  <c r="T275" i="21" s="1"/>
  <c r="S270" i="21"/>
  <c r="R270" i="21"/>
  <c r="R275" i="21" s="1"/>
  <c r="Q270" i="21"/>
  <c r="P270" i="21"/>
  <c r="P275" i="21" s="1"/>
  <c r="O270" i="21"/>
  <c r="N270" i="21"/>
  <c r="N275" i="21" s="1"/>
  <c r="M270" i="21"/>
  <c r="L270" i="21"/>
  <c r="L275" i="21" s="1"/>
  <c r="K270" i="21"/>
  <c r="W268" i="21"/>
  <c r="W266" i="21"/>
  <c r="W267" i="21" s="1"/>
  <c r="V266" i="21"/>
  <c r="U266" i="21"/>
  <c r="T266" i="21"/>
  <c r="S266" i="21"/>
  <c r="R266" i="21"/>
  <c r="Q266" i="21"/>
  <c r="P266" i="21"/>
  <c r="O266" i="21"/>
  <c r="N266" i="21"/>
  <c r="M266" i="21"/>
  <c r="L266" i="21"/>
  <c r="K266" i="21"/>
  <c r="W265" i="21"/>
  <c r="V265" i="21"/>
  <c r="U265" i="21"/>
  <c r="T265" i="21"/>
  <c r="S265" i="21"/>
  <c r="R265" i="21"/>
  <c r="Q265" i="21"/>
  <c r="P265" i="21"/>
  <c r="O265" i="21"/>
  <c r="N265" i="21"/>
  <c r="M265" i="21"/>
  <c r="L265" i="21"/>
  <c r="K265" i="21"/>
  <c r="V264" i="21"/>
  <c r="U264" i="21"/>
  <c r="T264" i="21"/>
  <c r="S264" i="21"/>
  <c r="R264" i="21"/>
  <c r="Q264" i="21"/>
  <c r="P264" i="21"/>
  <c r="O264" i="21"/>
  <c r="N264" i="21"/>
  <c r="M264" i="21"/>
  <c r="L264" i="21"/>
  <c r="K264" i="21"/>
  <c r="V263" i="21"/>
  <c r="V268" i="21" s="1"/>
  <c r="U263" i="21"/>
  <c r="T263" i="21"/>
  <c r="T268" i="21" s="1"/>
  <c r="S263" i="21"/>
  <c r="R263" i="21"/>
  <c r="R268" i="21" s="1"/>
  <c r="Q263" i="21"/>
  <c r="P263" i="21"/>
  <c r="P268" i="21" s="1"/>
  <c r="O263" i="21"/>
  <c r="N263" i="21"/>
  <c r="N268" i="21" s="1"/>
  <c r="M263" i="21"/>
  <c r="L263" i="21"/>
  <c r="L268" i="21" s="1"/>
  <c r="K263" i="21"/>
  <c r="W261" i="21"/>
  <c r="W260" i="21"/>
  <c r="W262" i="21" s="1"/>
  <c r="V260" i="21"/>
  <c r="U260" i="21"/>
  <c r="T260" i="21"/>
  <c r="S260" i="21"/>
  <c r="R260" i="21"/>
  <c r="Q260" i="21"/>
  <c r="P260" i="21"/>
  <c r="O260" i="21"/>
  <c r="N260" i="21"/>
  <c r="M260" i="21"/>
  <c r="L260" i="21"/>
  <c r="K260" i="21"/>
  <c r="V259" i="21"/>
  <c r="U259" i="21"/>
  <c r="T259" i="21"/>
  <c r="S259" i="21"/>
  <c r="R259" i="21"/>
  <c r="Q259" i="21"/>
  <c r="P259" i="21"/>
  <c r="O259" i="21"/>
  <c r="N259" i="21"/>
  <c r="M259" i="21"/>
  <c r="L259" i="21"/>
  <c r="K259" i="21"/>
  <c r="V258" i="21"/>
  <c r="U258" i="21"/>
  <c r="T258" i="21"/>
  <c r="S258" i="21"/>
  <c r="R258" i="21"/>
  <c r="Q258" i="21"/>
  <c r="P258" i="21"/>
  <c r="O258" i="21"/>
  <c r="N258" i="21"/>
  <c r="M258" i="21"/>
  <c r="L258" i="21"/>
  <c r="K258" i="21"/>
  <c r="V257" i="21"/>
  <c r="U257" i="21"/>
  <c r="T257" i="21"/>
  <c r="S257" i="21"/>
  <c r="R257" i="21"/>
  <c r="Q257" i="21"/>
  <c r="P257" i="21"/>
  <c r="O257" i="21"/>
  <c r="N257" i="21"/>
  <c r="M257" i="21"/>
  <c r="L257" i="21"/>
  <c r="K257" i="21"/>
  <c r="V256" i="21"/>
  <c r="V261" i="21" s="1"/>
  <c r="U256" i="21"/>
  <c r="T256" i="21"/>
  <c r="T261" i="21" s="1"/>
  <c r="S256" i="21"/>
  <c r="R256" i="21"/>
  <c r="R261" i="21" s="1"/>
  <c r="Q256" i="21"/>
  <c r="P256" i="21"/>
  <c r="P261" i="21" s="1"/>
  <c r="O256" i="21"/>
  <c r="N256" i="21"/>
  <c r="N261" i="21" s="1"/>
  <c r="M256" i="21"/>
  <c r="L256" i="21"/>
  <c r="L261" i="21" s="1"/>
  <c r="K256" i="21"/>
  <c r="W252" i="21"/>
  <c r="S252" i="21" s="1"/>
  <c r="W251" i="21"/>
  <c r="V251" i="21" s="1"/>
  <c r="W250" i="21"/>
  <c r="W255" i="21" s="1"/>
  <c r="W249" i="21"/>
  <c r="O249" i="21" s="1"/>
  <c r="W247" i="21"/>
  <c r="W246" i="21"/>
  <c r="W248" i="21" s="1"/>
  <c r="V246" i="21"/>
  <c r="U246" i="21"/>
  <c r="T246" i="21"/>
  <c r="S246" i="21"/>
  <c r="R246" i="21"/>
  <c r="Q246" i="21"/>
  <c r="P246" i="21"/>
  <c r="O246" i="21"/>
  <c r="N246" i="21"/>
  <c r="M246" i="21"/>
  <c r="L246" i="21"/>
  <c r="K246" i="21"/>
  <c r="V245" i="21"/>
  <c r="U245" i="21"/>
  <c r="T245" i="21"/>
  <c r="S245" i="21"/>
  <c r="R245" i="21"/>
  <c r="Q245" i="21"/>
  <c r="P245" i="21"/>
  <c r="O245" i="21"/>
  <c r="N245" i="21"/>
  <c r="M245" i="21"/>
  <c r="L245" i="21"/>
  <c r="K245" i="21"/>
  <c r="V244" i="21"/>
  <c r="U244" i="21"/>
  <c r="T244" i="21"/>
  <c r="S244" i="21"/>
  <c r="R244" i="21"/>
  <c r="Q244" i="21"/>
  <c r="P244" i="21"/>
  <c r="O244" i="21"/>
  <c r="N244" i="21"/>
  <c r="M244" i="21"/>
  <c r="L244" i="21"/>
  <c r="K244" i="21"/>
  <c r="V243" i="21"/>
  <c r="U243" i="21"/>
  <c r="T243" i="21"/>
  <c r="S243" i="21"/>
  <c r="R243" i="21"/>
  <c r="Q243" i="21"/>
  <c r="P243" i="21"/>
  <c r="O243" i="21"/>
  <c r="N243" i="21"/>
  <c r="M243" i="21"/>
  <c r="L243" i="21"/>
  <c r="K243" i="21"/>
  <c r="V242" i="21"/>
  <c r="V247" i="21" s="1"/>
  <c r="U242" i="21"/>
  <c r="T242" i="21"/>
  <c r="T247" i="21" s="1"/>
  <c r="S242" i="21"/>
  <c r="R242" i="21"/>
  <c r="R247" i="21" s="1"/>
  <c r="Q242" i="21"/>
  <c r="P242" i="21"/>
  <c r="P247" i="21" s="1"/>
  <c r="O242" i="21"/>
  <c r="N242" i="21"/>
  <c r="N247" i="21" s="1"/>
  <c r="M242" i="21"/>
  <c r="L242" i="21"/>
  <c r="L247" i="21" s="1"/>
  <c r="K242" i="21"/>
  <c r="V241" i="21"/>
  <c r="U241" i="21"/>
  <c r="T241" i="21"/>
  <c r="S241" i="21"/>
  <c r="R241" i="21"/>
  <c r="Q241" i="21"/>
  <c r="P241" i="21"/>
  <c r="O241" i="21"/>
  <c r="N241" i="21"/>
  <c r="M241" i="21"/>
  <c r="L241" i="21"/>
  <c r="K241" i="21"/>
  <c r="V240" i="21"/>
  <c r="U240" i="21"/>
  <c r="T240" i="21"/>
  <c r="S240" i="21"/>
  <c r="R240" i="21"/>
  <c r="Q240" i="21"/>
  <c r="P240" i="21"/>
  <c r="O240" i="21"/>
  <c r="N240" i="21"/>
  <c r="M240" i="21"/>
  <c r="L240" i="21"/>
  <c r="K240" i="21"/>
  <c r="X239" i="21"/>
  <c r="W239" i="21"/>
  <c r="V238" i="21"/>
  <c r="U238" i="21"/>
  <c r="T238" i="21"/>
  <c r="S238" i="21"/>
  <c r="R238" i="21"/>
  <c r="Q238" i="21"/>
  <c r="P238" i="21"/>
  <c r="O238" i="21"/>
  <c r="N238" i="21"/>
  <c r="M238" i="21"/>
  <c r="L238" i="21"/>
  <c r="K238" i="21"/>
  <c r="V237" i="21"/>
  <c r="U237" i="21"/>
  <c r="T237" i="21"/>
  <c r="S237" i="21"/>
  <c r="R237" i="21"/>
  <c r="Q237" i="21"/>
  <c r="P237" i="21"/>
  <c r="O237" i="21"/>
  <c r="N237" i="21"/>
  <c r="M237" i="21"/>
  <c r="L237" i="21"/>
  <c r="K237" i="21"/>
  <c r="X236" i="21"/>
  <c r="W236" i="21"/>
  <c r="X235" i="21"/>
  <c r="X234" i="21"/>
  <c r="X233" i="21"/>
  <c r="X232" i="21"/>
  <c r="W231" i="21"/>
  <c r="V230" i="21"/>
  <c r="U230" i="21"/>
  <c r="T230" i="21"/>
  <c r="S230" i="21"/>
  <c r="R230" i="21"/>
  <c r="Q230" i="21"/>
  <c r="P230" i="21"/>
  <c r="O230" i="21"/>
  <c r="N230" i="21"/>
  <c r="M230" i="21"/>
  <c r="L230" i="21"/>
  <c r="K230" i="21"/>
  <c r="X230" i="21" s="1"/>
  <c r="V229" i="21"/>
  <c r="U229" i="21"/>
  <c r="T229" i="21"/>
  <c r="S229" i="21"/>
  <c r="R229" i="21"/>
  <c r="Q229" i="21"/>
  <c r="P229" i="21"/>
  <c r="O229" i="21"/>
  <c r="N229" i="21"/>
  <c r="M229" i="21"/>
  <c r="L229" i="21"/>
  <c r="K229" i="21"/>
  <c r="X228" i="21"/>
  <c r="W228" i="21"/>
  <c r="V227" i="21"/>
  <c r="V231" i="21" s="1"/>
  <c r="U227" i="21"/>
  <c r="U231" i="21" s="1"/>
  <c r="T227" i="21"/>
  <c r="T231" i="21" s="1"/>
  <c r="S227" i="21"/>
  <c r="S231" i="21" s="1"/>
  <c r="R227" i="21"/>
  <c r="R231" i="21" s="1"/>
  <c r="Q227" i="21"/>
  <c r="Q231" i="21" s="1"/>
  <c r="P227" i="21"/>
  <c r="P231" i="21" s="1"/>
  <c r="O227" i="21"/>
  <c r="O231" i="21" s="1"/>
  <c r="N227" i="21"/>
  <c r="N231" i="21" s="1"/>
  <c r="M227" i="21"/>
  <c r="M231" i="21" s="1"/>
  <c r="L227" i="21"/>
  <c r="L231" i="21" s="1"/>
  <c r="K227" i="21"/>
  <c r="K231" i="21" s="1"/>
  <c r="X226" i="21"/>
  <c r="W226" i="21"/>
  <c r="W230" i="21" s="1"/>
  <c r="W225" i="21"/>
  <c r="V224" i="21"/>
  <c r="U224" i="21"/>
  <c r="T224" i="21"/>
  <c r="S224" i="21"/>
  <c r="R224" i="21"/>
  <c r="Q224" i="21"/>
  <c r="P224" i="21"/>
  <c r="O224" i="21"/>
  <c r="N224" i="21"/>
  <c r="M224" i="21"/>
  <c r="L224" i="21"/>
  <c r="K224" i="21"/>
  <c r="V223" i="21"/>
  <c r="U223" i="21"/>
  <c r="T223" i="21"/>
  <c r="T225" i="21" s="1"/>
  <c r="S223" i="21"/>
  <c r="R223" i="21"/>
  <c r="Q223" i="21"/>
  <c r="P223" i="21"/>
  <c r="P225" i="21" s="1"/>
  <c r="O223" i="21"/>
  <c r="N223" i="21"/>
  <c r="M223" i="21"/>
  <c r="L223" i="21"/>
  <c r="L225" i="21" s="1"/>
  <c r="K223" i="21"/>
  <c r="X222" i="21"/>
  <c r="W222" i="21"/>
  <c r="V220" i="21"/>
  <c r="U220" i="21"/>
  <c r="T220" i="21"/>
  <c r="S220" i="21"/>
  <c r="R220" i="21"/>
  <c r="Q220" i="21"/>
  <c r="P220" i="21"/>
  <c r="O220" i="21"/>
  <c r="N220" i="21"/>
  <c r="M220" i="21"/>
  <c r="L220" i="21"/>
  <c r="X220" i="21" s="1"/>
  <c r="K220" i="21"/>
  <c r="X219" i="21"/>
  <c r="W219" i="21"/>
  <c r="X218" i="21"/>
  <c r="W218" i="21"/>
  <c r="V217" i="21"/>
  <c r="U217" i="21"/>
  <c r="T217" i="21"/>
  <c r="S217" i="21"/>
  <c r="R217" i="21"/>
  <c r="Q217" i="21"/>
  <c r="P217" i="21"/>
  <c r="O217" i="21"/>
  <c r="N217" i="21"/>
  <c r="M217" i="21"/>
  <c r="L217" i="21"/>
  <c r="K217" i="21"/>
  <c r="V216" i="21"/>
  <c r="V221" i="21" s="1"/>
  <c r="U216" i="21"/>
  <c r="T216" i="21"/>
  <c r="S216" i="21"/>
  <c r="R216" i="21"/>
  <c r="R221" i="21" s="1"/>
  <c r="Q216" i="21"/>
  <c r="P216" i="21"/>
  <c r="O216" i="21"/>
  <c r="N216" i="21"/>
  <c r="N221" i="21" s="1"/>
  <c r="M216" i="21"/>
  <c r="L216" i="21"/>
  <c r="K216" i="21"/>
  <c r="X215" i="21"/>
  <c r="W215" i="21"/>
  <c r="W220" i="21" s="1"/>
  <c r="X214" i="21"/>
  <c r="W214" i="21"/>
  <c r="W213" i="21"/>
  <c r="W212" i="21"/>
  <c r="V211" i="21"/>
  <c r="U211" i="21"/>
  <c r="T211" i="21"/>
  <c r="S211" i="21"/>
  <c r="R211" i="21"/>
  <c r="Q211" i="21"/>
  <c r="P211" i="21"/>
  <c r="O211" i="21"/>
  <c r="N211" i="21"/>
  <c r="M211" i="21"/>
  <c r="L211" i="21"/>
  <c r="K211" i="21"/>
  <c r="V210" i="21"/>
  <c r="V213" i="21" s="1"/>
  <c r="U210" i="21"/>
  <c r="T210" i="21"/>
  <c r="T213" i="21" s="1"/>
  <c r="S210" i="21"/>
  <c r="R210" i="21"/>
  <c r="R213" i="21" s="1"/>
  <c r="Q210" i="21"/>
  <c r="P210" i="21"/>
  <c r="P213" i="21" s="1"/>
  <c r="O210" i="21"/>
  <c r="N210" i="21"/>
  <c r="N213" i="21" s="1"/>
  <c r="M210" i="21"/>
  <c r="L210" i="21"/>
  <c r="L213" i="21" s="1"/>
  <c r="K210" i="21"/>
  <c r="V209" i="21"/>
  <c r="U209" i="21"/>
  <c r="T209" i="21"/>
  <c r="S209" i="21"/>
  <c r="R209" i="21"/>
  <c r="Q209" i="21"/>
  <c r="P209" i="21"/>
  <c r="O209" i="21"/>
  <c r="N209" i="21"/>
  <c r="M209" i="21"/>
  <c r="L209" i="21"/>
  <c r="K209" i="21"/>
  <c r="X208" i="21"/>
  <c r="W205" i="21"/>
  <c r="X204" i="21"/>
  <c r="W204" i="21"/>
  <c r="W207" i="21" s="1"/>
  <c r="V203" i="21"/>
  <c r="U203" i="21"/>
  <c r="T203" i="21"/>
  <c r="S203" i="21"/>
  <c r="R203" i="21"/>
  <c r="Q203" i="21"/>
  <c r="P203" i="21"/>
  <c r="O203" i="21"/>
  <c r="N203" i="21"/>
  <c r="M203" i="21"/>
  <c r="L203" i="21"/>
  <c r="K203" i="21"/>
  <c r="V202" i="21"/>
  <c r="V205" i="21" s="1"/>
  <c r="U202" i="21"/>
  <c r="T202" i="21"/>
  <c r="T205" i="21" s="1"/>
  <c r="S202" i="21"/>
  <c r="R202" i="21"/>
  <c r="R205" i="21" s="1"/>
  <c r="Q202" i="21"/>
  <c r="P202" i="21"/>
  <c r="P205" i="21" s="1"/>
  <c r="O202" i="21"/>
  <c r="N202" i="21"/>
  <c r="N205" i="21" s="1"/>
  <c r="M202" i="21"/>
  <c r="L202" i="21"/>
  <c r="L205" i="21" s="1"/>
  <c r="K202" i="21"/>
  <c r="W201" i="21"/>
  <c r="U201" i="21"/>
  <c r="U206" i="21" s="1"/>
  <c r="S201" i="21"/>
  <c r="S206" i="21" s="1"/>
  <c r="Q201" i="21"/>
  <c r="Q206" i="21" s="1"/>
  <c r="O201" i="21"/>
  <c r="O206" i="21" s="1"/>
  <c r="M201" i="21"/>
  <c r="M206" i="21" s="1"/>
  <c r="K201" i="21"/>
  <c r="K206" i="21" s="1"/>
  <c r="X200" i="21"/>
  <c r="W200" i="21"/>
  <c r="X199" i="21"/>
  <c r="W199" i="21"/>
  <c r="W196" i="21"/>
  <c r="W198" i="21" s="1"/>
  <c r="X195" i="21"/>
  <c r="V194" i="21"/>
  <c r="U194" i="21"/>
  <c r="T194" i="21"/>
  <c r="S194" i="21"/>
  <c r="R194" i="21"/>
  <c r="Q194" i="21"/>
  <c r="P194" i="21"/>
  <c r="O194" i="21"/>
  <c r="N194" i="21"/>
  <c r="M194" i="21"/>
  <c r="L194" i="21"/>
  <c r="K194" i="21"/>
  <c r="V193" i="21"/>
  <c r="V196" i="21" s="1"/>
  <c r="U193" i="21"/>
  <c r="T193" i="21"/>
  <c r="T196" i="21" s="1"/>
  <c r="S193" i="21"/>
  <c r="R193" i="21"/>
  <c r="R196" i="21" s="1"/>
  <c r="Q193" i="21"/>
  <c r="P193" i="21"/>
  <c r="P196" i="21" s="1"/>
  <c r="O193" i="21"/>
  <c r="N193" i="21"/>
  <c r="N196" i="21" s="1"/>
  <c r="M193" i="21"/>
  <c r="L193" i="21"/>
  <c r="L196" i="21" s="1"/>
  <c r="K193" i="21"/>
  <c r="W192" i="21"/>
  <c r="V192" i="21"/>
  <c r="U192" i="21"/>
  <c r="T192" i="21"/>
  <c r="S192" i="21"/>
  <c r="R192" i="21"/>
  <c r="Q192" i="21"/>
  <c r="P192" i="21"/>
  <c r="O192" i="21"/>
  <c r="N192" i="21"/>
  <c r="M192" i="21"/>
  <c r="L192" i="21"/>
  <c r="K192" i="21"/>
  <c r="U191" i="21" s="1"/>
  <c r="S191" i="21"/>
  <c r="O191" i="21"/>
  <c r="K191" i="21"/>
  <c r="X190" i="21"/>
  <c r="W190" i="21"/>
  <c r="X189" i="21"/>
  <c r="X188" i="21"/>
  <c r="W188" i="21"/>
  <c r="X187" i="21"/>
  <c r="W187" i="21"/>
  <c r="X186" i="21"/>
  <c r="X185" i="21"/>
  <c r="W185" i="21"/>
  <c r="W189" i="21" s="1"/>
  <c r="X184" i="21"/>
  <c r="X183" i="21"/>
  <c r="X182" i="21"/>
  <c r="X181" i="21"/>
  <c r="W181" i="21"/>
  <c r="V180" i="21"/>
  <c r="U180" i="21"/>
  <c r="T180" i="21"/>
  <c r="S180" i="21"/>
  <c r="R180" i="21"/>
  <c r="Q180" i="21"/>
  <c r="P180" i="21"/>
  <c r="O180" i="21"/>
  <c r="N180" i="21"/>
  <c r="M180" i="21"/>
  <c r="L180" i="21"/>
  <c r="K180" i="21"/>
  <c r="X179" i="21"/>
  <c r="X180" i="21" s="1"/>
  <c r="W179" i="21"/>
  <c r="W180" i="21" s="1"/>
  <c r="X178" i="21"/>
  <c r="W178" i="21"/>
  <c r="V177" i="21"/>
  <c r="U177" i="21"/>
  <c r="T177" i="21"/>
  <c r="S177" i="21"/>
  <c r="R177" i="21"/>
  <c r="Q177" i="21"/>
  <c r="P177" i="21"/>
  <c r="O177" i="21"/>
  <c r="N177" i="21"/>
  <c r="M177" i="21"/>
  <c r="L177" i="21"/>
  <c r="K177" i="21"/>
  <c r="X176" i="21"/>
  <c r="W176" i="21"/>
  <c r="X175" i="21"/>
  <c r="W175" i="21"/>
  <c r="X174" i="21"/>
  <c r="W174" i="21"/>
  <c r="V173" i="21"/>
  <c r="U173" i="21"/>
  <c r="T173" i="21"/>
  <c r="S173" i="21"/>
  <c r="R173" i="21"/>
  <c r="Q173" i="21"/>
  <c r="P172" i="21"/>
  <c r="P173" i="21" s="1"/>
  <c r="O172" i="21"/>
  <c r="O173" i="21" s="1"/>
  <c r="N172" i="21"/>
  <c r="N173" i="21" s="1"/>
  <c r="M172" i="21"/>
  <c r="M173" i="21" s="1"/>
  <c r="L172" i="21"/>
  <c r="L173" i="21" s="1"/>
  <c r="K172" i="21"/>
  <c r="K173" i="21" s="1"/>
  <c r="X171" i="21"/>
  <c r="W171" i="21"/>
  <c r="X169" i="21"/>
  <c r="X168" i="21"/>
  <c r="W168" i="21"/>
  <c r="X167" i="21"/>
  <c r="W167" i="21"/>
  <c r="X166" i="21"/>
  <c r="W166" i="21"/>
  <c r="X165" i="21"/>
  <c r="W165" i="21"/>
  <c r="X164" i="21"/>
  <c r="W164" i="21"/>
  <c r="V163" i="21"/>
  <c r="U163" i="21"/>
  <c r="T163" i="21"/>
  <c r="S163" i="21"/>
  <c r="R163" i="21"/>
  <c r="Q163" i="21"/>
  <c r="X162" i="21"/>
  <c r="X161" i="21"/>
  <c r="W161" i="21"/>
  <c r="X160" i="21"/>
  <c r="W160" i="21"/>
  <c r="X159" i="21"/>
  <c r="W159" i="21"/>
  <c r="X158" i="21"/>
  <c r="W158" i="21"/>
  <c r="X157" i="21"/>
  <c r="W157" i="21"/>
  <c r="X155" i="21"/>
  <c r="X154" i="21"/>
  <c r="W154" i="21"/>
  <c r="X153" i="21"/>
  <c r="W153" i="21"/>
  <c r="X152" i="21"/>
  <c r="W152" i="21"/>
  <c r="X151" i="21"/>
  <c r="W151" i="21"/>
  <c r="X150" i="21"/>
  <c r="W150" i="21"/>
  <c r="X148" i="21"/>
  <c r="X147" i="21"/>
  <c r="W147" i="21"/>
  <c r="X146" i="21"/>
  <c r="W146" i="21"/>
  <c r="X145" i="21"/>
  <c r="W145" i="21"/>
  <c r="X144" i="21"/>
  <c r="W144" i="21"/>
  <c r="X143" i="21"/>
  <c r="W143" i="21"/>
  <c r="X141" i="21"/>
  <c r="X140" i="21"/>
  <c r="W140" i="21"/>
  <c r="X139" i="21"/>
  <c r="W139" i="21"/>
  <c r="X138" i="21"/>
  <c r="W138" i="21"/>
  <c r="X137" i="21"/>
  <c r="W137" i="21"/>
  <c r="X136" i="21"/>
  <c r="W136" i="21"/>
  <c r="X134" i="21"/>
  <c r="X133" i="21"/>
  <c r="W133" i="21"/>
  <c r="X132" i="21"/>
  <c r="W132" i="21"/>
  <c r="X131" i="21"/>
  <c r="W131" i="21"/>
  <c r="X130" i="21"/>
  <c r="W130" i="21"/>
  <c r="X129" i="21"/>
  <c r="W129" i="21"/>
  <c r="X127" i="21"/>
  <c r="X126" i="21"/>
  <c r="W126" i="21"/>
  <c r="X125" i="21"/>
  <c r="W125" i="21"/>
  <c r="X124" i="21"/>
  <c r="W124" i="21"/>
  <c r="X123" i="21"/>
  <c r="W123" i="21"/>
  <c r="X122" i="21"/>
  <c r="W122" i="21"/>
  <c r="X120" i="21"/>
  <c r="X119" i="21"/>
  <c r="W119" i="21"/>
  <c r="X118" i="21"/>
  <c r="W118" i="21"/>
  <c r="X117" i="21"/>
  <c r="W117" i="21"/>
  <c r="X116" i="21"/>
  <c r="W116" i="21"/>
  <c r="X115" i="21"/>
  <c r="W115" i="21"/>
  <c r="X113" i="21"/>
  <c r="X112" i="21"/>
  <c r="W112" i="21"/>
  <c r="X111" i="21"/>
  <c r="W111" i="21"/>
  <c r="X110" i="21"/>
  <c r="W110" i="21"/>
  <c r="X109" i="21"/>
  <c r="W109" i="21"/>
  <c r="W113" i="21" s="1"/>
  <c r="X108" i="21"/>
  <c r="W108" i="21"/>
  <c r="X107" i="21"/>
  <c r="W106" i="21"/>
  <c r="X105" i="21"/>
  <c r="W105" i="21"/>
  <c r="W107" i="21" s="1"/>
  <c r="X104" i="21"/>
  <c r="W104" i="21"/>
  <c r="X103" i="21"/>
  <c r="W103" i="21"/>
  <c r="X102" i="21"/>
  <c r="W102" i="21"/>
  <c r="X101" i="21"/>
  <c r="X106" i="21" s="1"/>
  <c r="W101" i="21"/>
  <c r="X99" i="21"/>
  <c r="X98" i="21"/>
  <c r="X100" i="21" s="1"/>
  <c r="W98" i="21"/>
  <c r="X97" i="21"/>
  <c r="W97" i="21"/>
  <c r="X96" i="21"/>
  <c r="W96" i="21"/>
  <c r="X95" i="21"/>
  <c r="W95" i="21"/>
  <c r="X94" i="21"/>
  <c r="W94" i="21"/>
  <c r="V93" i="21"/>
  <c r="U93" i="21"/>
  <c r="T93" i="21"/>
  <c r="S93" i="21"/>
  <c r="R93" i="21"/>
  <c r="Q93" i="21"/>
  <c r="P93" i="21"/>
  <c r="O93" i="21"/>
  <c r="N93" i="21"/>
  <c r="M93" i="21"/>
  <c r="L93" i="21"/>
  <c r="K93" i="21"/>
  <c r="X92" i="21"/>
  <c r="W92" i="21"/>
  <c r="X91" i="21"/>
  <c r="W91" i="21"/>
  <c r="V90" i="21"/>
  <c r="U90" i="21"/>
  <c r="T90" i="21"/>
  <c r="S90" i="21"/>
  <c r="R90" i="21"/>
  <c r="Q90" i="21"/>
  <c r="P90" i="21"/>
  <c r="O90" i="21"/>
  <c r="N90" i="21"/>
  <c r="M90" i="21"/>
  <c r="L90" i="21"/>
  <c r="K90" i="21"/>
  <c r="X89" i="21"/>
  <c r="W89" i="21"/>
  <c r="X88" i="21"/>
  <c r="W88" i="21"/>
  <c r="V87" i="21"/>
  <c r="U87" i="21"/>
  <c r="T87" i="21"/>
  <c r="S87" i="21"/>
  <c r="R87" i="21"/>
  <c r="Q87" i="21"/>
  <c r="P87" i="21"/>
  <c r="O87" i="21"/>
  <c r="N87" i="21"/>
  <c r="M87" i="21"/>
  <c r="L87" i="21"/>
  <c r="K87" i="21"/>
  <c r="X86" i="21"/>
  <c r="W86" i="21"/>
  <c r="X85" i="21"/>
  <c r="W85" i="21"/>
  <c r="V82" i="21"/>
  <c r="U82" i="21"/>
  <c r="T82" i="21"/>
  <c r="S82" i="21"/>
  <c r="R82" i="21"/>
  <c r="Q82" i="21"/>
  <c r="P82" i="21"/>
  <c r="O82" i="21"/>
  <c r="N82" i="21"/>
  <c r="M82" i="21"/>
  <c r="L82" i="21"/>
  <c r="K82" i="21"/>
  <c r="V81" i="21"/>
  <c r="V84" i="21" s="1"/>
  <c r="U81" i="21"/>
  <c r="U84" i="21" s="1"/>
  <c r="T81" i="21"/>
  <c r="T84" i="21" s="1"/>
  <c r="S81" i="21"/>
  <c r="S84" i="21" s="1"/>
  <c r="R81" i="21"/>
  <c r="R84" i="21" s="1"/>
  <c r="Q81" i="21"/>
  <c r="Q84" i="21" s="1"/>
  <c r="P81" i="21"/>
  <c r="P84" i="21" s="1"/>
  <c r="O81" i="21"/>
  <c r="O84" i="21" s="1"/>
  <c r="N81" i="21"/>
  <c r="N84" i="21" s="1"/>
  <c r="M81" i="21"/>
  <c r="M84" i="21" s="1"/>
  <c r="L81" i="21"/>
  <c r="L84" i="21" s="1"/>
  <c r="K81" i="21"/>
  <c r="K84" i="21" s="1"/>
  <c r="V80" i="21"/>
  <c r="V83" i="21" s="1"/>
  <c r="U80" i="21"/>
  <c r="T80" i="21"/>
  <c r="S80" i="21"/>
  <c r="R80" i="21"/>
  <c r="Q80" i="21"/>
  <c r="P80" i="21"/>
  <c r="O80" i="21"/>
  <c r="N80" i="21"/>
  <c r="M80" i="21"/>
  <c r="L80" i="21"/>
  <c r="K80" i="21"/>
  <c r="V77" i="21"/>
  <c r="U77" i="21"/>
  <c r="T77" i="21"/>
  <c r="S77" i="21"/>
  <c r="R77" i="21"/>
  <c r="Q77" i="21"/>
  <c r="P77" i="21"/>
  <c r="O77" i="21"/>
  <c r="N77" i="21"/>
  <c r="M77" i="21"/>
  <c r="L77" i="21"/>
  <c r="K77" i="21"/>
  <c r="V76" i="21"/>
  <c r="V79" i="21" s="1"/>
  <c r="U76" i="21"/>
  <c r="U79" i="21" s="1"/>
  <c r="T76" i="21"/>
  <c r="T79" i="21" s="1"/>
  <c r="S76" i="21"/>
  <c r="S79" i="21" s="1"/>
  <c r="R76" i="21"/>
  <c r="R79" i="21" s="1"/>
  <c r="Q76" i="21"/>
  <c r="Q79" i="21" s="1"/>
  <c r="P76" i="21"/>
  <c r="P79" i="21" s="1"/>
  <c r="O76" i="21"/>
  <c r="O79" i="21" s="1"/>
  <c r="N76" i="21"/>
  <c r="N79" i="21" s="1"/>
  <c r="M76" i="21"/>
  <c r="M79" i="21" s="1"/>
  <c r="L76" i="21"/>
  <c r="L79" i="21" s="1"/>
  <c r="K76" i="21"/>
  <c r="K79" i="21" s="1"/>
  <c r="V75" i="21"/>
  <c r="V78" i="21" s="1"/>
  <c r="U75" i="21"/>
  <c r="U78" i="21" s="1"/>
  <c r="T75" i="21"/>
  <c r="T78" i="21" s="1"/>
  <c r="S75" i="21"/>
  <c r="S78" i="21" s="1"/>
  <c r="R75" i="21"/>
  <c r="R78" i="21" s="1"/>
  <c r="Q75" i="21"/>
  <c r="Q78" i="21" s="1"/>
  <c r="P75" i="21"/>
  <c r="P78" i="21" s="1"/>
  <c r="O75" i="21"/>
  <c r="O78" i="21" s="1"/>
  <c r="N75" i="21"/>
  <c r="N78" i="21" s="1"/>
  <c r="M75" i="21"/>
  <c r="M78" i="21" s="1"/>
  <c r="L75" i="21"/>
  <c r="L78" i="21" s="1"/>
  <c r="K75" i="21"/>
  <c r="K78" i="21" s="1"/>
  <c r="V72" i="21"/>
  <c r="U72" i="21"/>
  <c r="T72" i="21"/>
  <c r="S72" i="21"/>
  <c r="R72" i="21"/>
  <c r="Q72" i="21"/>
  <c r="P72" i="21"/>
  <c r="O72" i="21"/>
  <c r="N72" i="21"/>
  <c r="M72" i="21"/>
  <c r="L72" i="21"/>
  <c r="K72" i="21"/>
  <c r="V71" i="21"/>
  <c r="V74" i="21" s="1"/>
  <c r="U71" i="21"/>
  <c r="U74" i="21" s="1"/>
  <c r="T71" i="21"/>
  <c r="T74" i="21" s="1"/>
  <c r="S71" i="21"/>
  <c r="S74" i="21" s="1"/>
  <c r="R71" i="21"/>
  <c r="R74" i="21" s="1"/>
  <c r="Q71" i="21"/>
  <c r="Q74" i="21" s="1"/>
  <c r="P71" i="21"/>
  <c r="P74" i="21" s="1"/>
  <c r="O71" i="21"/>
  <c r="O74" i="21" s="1"/>
  <c r="N71" i="21"/>
  <c r="N74" i="21" s="1"/>
  <c r="M71" i="21"/>
  <c r="M74" i="21" s="1"/>
  <c r="L71" i="21"/>
  <c r="L74" i="21" s="1"/>
  <c r="K71" i="21"/>
  <c r="K74" i="21" s="1"/>
  <c r="V70" i="21"/>
  <c r="U70" i="21"/>
  <c r="T70" i="21"/>
  <c r="S70" i="21"/>
  <c r="R70" i="21"/>
  <c r="Q70" i="21"/>
  <c r="P70" i="21"/>
  <c r="O70" i="21"/>
  <c r="N70" i="21"/>
  <c r="M70" i="21"/>
  <c r="L70" i="21"/>
  <c r="K70" i="21"/>
  <c r="V67" i="21"/>
  <c r="U67" i="21"/>
  <c r="T67" i="21"/>
  <c r="S67" i="21"/>
  <c r="R67" i="21"/>
  <c r="Q67" i="21"/>
  <c r="P67" i="21"/>
  <c r="O67" i="21"/>
  <c r="N67" i="21"/>
  <c r="M67" i="21"/>
  <c r="L67" i="21"/>
  <c r="K67" i="21"/>
  <c r="V66" i="21"/>
  <c r="V69" i="21" s="1"/>
  <c r="U66" i="21"/>
  <c r="U69" i="21" s="1"/>
  <c r="T66" i="21"/>
  <c r="T69" i="21" s="1"/>
  <c r="S66" i="21"/>
  <c r="S69" i="21" s="1"/>
  <c r="R66" i="21"/>
  <c r="R69" i="21" s="1"/>
  <c r="Q66" i="21"/>
  <c r="Q69" i="21" s="1"/>
  <c r="P66" i="21"/>
  <c r="P69" i="21" s="1"/>
  <c r="O66" i="21"/>
  <c r="O69" i="21" s="1"/>
  <c r="N66" i="21"/>
  <c r="N69" i="21" s="1"/>
  <c r="M66" i="21"/>
  <c r="M69" i="21" s="1"/>
  <c r="L66" i="21"/>
  <c r="L69" i="21" s="1"/>
  <c r="K66" i="21"/>
  <c r="K69" i="21" s="1"/>
  <c r="V65" i="21"/>
  <c r="V68" i="21" s="1"/>
  <c r="U65" i="21"/>
  <c r="U68" i="21" s="1"/>
  <c r="T65" i="21"/>
  <c r="T68" i="21" s="1"/>
  <c r="S65" i="21"/>
  <c r="S68" i="21" s="1"/>
  <c r="R65" i="21"/>
  <c r="R68" i="21" s="1"/>
  <c r="Q65" i="21"/>
  <c r="Q68" i="21" s="1"/>
  <c r="P65" i="21"/>
  <c r="P68" i="21" s="1"/>
  <c r="O65" i="21"/>
  <c r="O68" i="21" s="1"/>
  <c r="N65" i="21"/>
  <c r="N68" i="21" s="1"/>
  <c r="M65" i="21"/>
  <c r="M68" i="21" s="1"/>
  <c r="L65" i="21"/>
  <c r="L68" i="21" s="1"/>
  <c r="K65" i="21"/>
  <c r="K68" i="21" s="1"/>
  <c r="V62" i="21"/>
  <c r="U62" i="21"/>
  <c r="T62" i="21"/>
  <c r="S62" i="21"/>
  <c r="R62" i="21"/>
  <c r="Q62" i="21"/>
  <c r="P62" i="21"/>
  <c r="O62" i="21"/>
  <c r="N62" i="21"/>
  <c r="M62" i="21"/>
  <c r="L62" i="21"/>
  <c r="K62" i="21"/>
  <c r="V61" i="21"/>
  <c r="V64" i="21" s="1"/>
  <c r="U61" i="21"/>
  <c r="U64" i="21" s="1"/>
  <c r="T61" i="21"/>
  <c r="T64" i="21" s="1"/>
  <c r="S61" i="21"/>
  <c r="S64" i="21" s="1"/>
  <c r="R61" i="21"/>
  <c r="R64" i="21" s="1"/>
  <c r="Q61" i="21"/>
  <c r="Q64" i="21" s="1"/>
  <c r="P61" i="21"/>
  <c r="P64" i="21" s="1"/>
  <c r="O61" i="21"/>
  <c r="O64" i="21" s="1"/>
  <c r="N61" i="21"/>
  <c r="N64" i="21" s="1"/>
  <c r="M61" i="21"/>
  <c r="M64" i="21" s="1"/>
  <c r="L61" i="21"/>
  <c r="L64" i="21" s="1"/>
  <c r="K61" i="21"/>
  <c r="K64" i="21" s="1"/>
  <c r="V60" i="21"/>
  <c r="U60" i="21"/>
  <c r="U63" i="21" s="1"/>
  <c r="T60" i="21"/>
  <c r="T63" i="21" s="1"/>
  <c r="S60" i="21"/>
  <c r="S63" i="21" s="1"/>
  <c r="R60" i="21"/>
  <c r="R63" i="21" s="1"/>
  <c r="Q60" i="21"/>
  <c r="Q63" i="21" s="1"/>
  <c r="P60" i="21"/>
  <c r="P63" i="21" s="1"/>
  <c r="O60" i="21"/>
  <c r="O63" i="21" s="1"/>
  <c r="N60" i="21"/>
  <c r="N63" i="21" s="1"/>
  <c r="M60" i="21"/>
  <c r="M63" i="21" s="1"/>
  <c r="L60" i="21"/>
  <c r="L63" i="21" s="1"/>
  <c r="K60" i="21"/>
  <c r="K63" i="21" s="1"/>
  <c r="V57" i="21"/>
  <c r="U57" i="21"/>
  <c r="T57" i="21"/>
  <c r="S57" i="21"/>
  <c r="R57" i="21"/>
  <c r="Q57" i="21"/>
  <c r="P57" i="21"/>
  <c r="O57" i="21"/>
  <c r="N57" i="21"/>
  <c r="M57" i="21"/>
  <c r="L57" i="21"/>
  <c r="K57" i="21"/>
  <c r="V56" i="21"/>
  <c r="V59" i="21" s="1"/>
  <c r="U56" i="21"/>
  <c r="T56" i="21"/>
  <c r="S56" i="21"/>
  <c r="R56" i="21"/>
  <c r="Q56" i="21"/>
  <c r="P56" i="21"/>
  <c r="O56" i="21"/>
  <c r="N56" i="21"/>
  <c r="M56" i="21"/>
  <c r="L56" i="21"/>
  <c r="K56" i="21"/>
  <c r="V55" i="21"/>
  <c r="U55" i="21"/>
  <c r="U59" i="21" s="1"/>
  <c r="T55" i="21"/>
  <c r="T59" i="21" s="1"/>
  <c r="S55" i="21"/>
  <c r="S59" i="21" s="1"/>
  <c r="R55" i="21"/>
  <c r="R59" i="21" s="1"/>
  <c r="Q55" i="21"/>
  <c r="P55" i="21"/>
  <c r="P59" i="21" s="1"/>
  <c r="O55" i="21"/>
  <c r="O59" i="21" s="1"/>
  <c r="N55" i="21"/>
  <c r="N59" i="21" s="1"/>
  <c r="M55" i="21"/>
  <c r="L55" i="21"/>
  <c r="L59" i="21" s="1"/>
  <c r="K55" i="21"/>
  <c r="V54" i="21"/>
  <c r="U54" i="21"/>
  <c r="T54" i="21"/>
  <c r="T58" i="21" s="1"/>
  <c r="S54" i="21"/>
  <c r="S58" i="21" s="1"/>
  <c r="R54" i="21"/>
  <c r="R58" i="21" s="1"/>
  <c r="Q54" i="21"/>
  <c r="P54" i="21"/>
  <c r="P58" i="21" s="1"/>
  <c r="O54" i="21"/>
  <c r="O58" i="21" s="1"/>
  <c r="N54" i="21"/>
  <c r="N58" i="21" s="1"/>
  <c r="M54" i="21"/>
  <c r="L54" i="21"/>
  <c r="L58" i="21" s="1"/>
  <c r="K54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V50" i="21"/>
  <c r="V53" i="21" s="1"/>
  <c r="U50" i="21"/>
  <c r="U53" i="21" s="1"/>
  <c r="T50" i="21"/>
  <c r="T53" i="21" s="1"/>
  <c r="S50" i="21"/>
  <c r="R50" i="21"/>
  <c r="R53" i="21" s="1"/>
  <c r="Q50" i="21"/>
  <c r="Q53" i="21" s="1"/>
  <c r="P50" i="21"/>
  <c r="P53" i="21" s="1"/>
  <c r="O50" i="21"/>
  <c r="N50" i="21"/>
  <c r="N53" i="21" s="1"/>
  <c r="M50" i="21"/>
  <c r="M53" i="21" s="1"/>
  <c r="L50" i="21"/>
  <c r="L53" i="21" s="1"/>
  <c r="K50" i="21"/>
  <c r="V49" i="21"/>
  <c r="U49" i="21"/>
  <c r="T49" i="21"/>
  <c r="S49" i="21"/>
  <c r="R49" i="21"/>
  <c r="Q49" i="21"/>
  <c r="Q52" i="21" s="1"/>
  <c r="P49" i="21"/>
  <c r="O49" i="21"/>
  <c r="N49" i="21"/>
  <c r="M49" i="21"/>
  <c r="M52" i="21" s="1"/>
  <c r="L49" i="21"/>
  <c r="K49" i="21"/>
  <c r="V48" i="21"/>
  <c r="U48" i="21"/>
  <c r="T48" i="21"/>
  <c r="S48" i="21"/>
  <c r="P48" i="21"/>
  <c r="O48" i="21"/>
  <c r="N48" i="21"/>
  <c r="M48" i="21"/>
  <c r="L48" i="21"/>
  <c r="K48" i="21"/>
  <c r="V47" i="21"/>
  <c r="U47" i="21"/>
  <c r="T47" i="21"/>
  <c r="S47" i="21"/>
  <c r="P47" i="21"/>
  <c r="O47" i="21"/>
  <c r="N47" i="21"/>
  <c r="M47" i="21"/>
  <c r="L47" i="21"/>
  <c r="X46" i="21"/>
  <c r="W46" i="21"/>
  <c r="X45" i="21"/>
  <c r="W45" i="21"/>
  <c r="X44" i="21"/>
  <c r="W44" i="21"/>
  <c r="X43" i="21"/>
  <c r="W43" i="21"/>
  <c r="W48" i="21" s="1"/>
  <c r="X42" i="21"/>
  <c r="W42" i="21"/>
  <c r="X41" i="21"/>
  <c r="W41" i="21"/>
  <c r="V40" i="21"/>
  <c r="U40" i="21"/>
  <c r="T40" i="21"/>
  <c r="S40" i="21"/>
  <c r="P40" i="21"/>
  <c r="O40" i="21"/>
  <c r="N40" i="21"/>
  <c r="L40" i="21"/>
  <c r="K40" i="21"/>
  <c r="V39" i="21"/>
  <c r="U39" i="21"/>
  <c r="T39" i="21"/>
  <c r="S39" i="21"/>
  <c r="P39" i="21"/>
  <c r="O39" i="21"/>
  <c r="N39" i="21"/>
  <c r="M39" i="21"/>
  <c r="L39" i="21"/>
  <c r="K39" i="21"/>
  <c r="M38" i="21"/>
  <c r="X38" i="21" s="1"/>
  <c r="X37" i="21"/>
  <c r="W37" i="21"/>
  <c r="X36" i="21"/>
  <c r="W36" i="21"/>
  <c r="X35" i="21"/>
  <c r="W35" i="21"/>
  <c r="V34" i="21"/>
  <c r="U34" i="21"/>
  <c r="T34" i="21"/>
  <c r="S34" i="21"/>
  <c r="P34" i="21"/>
  <c r="O34" i="21"/>
  <c r="N34" i="21"/>
  <c r="M34" i="21"/>
  <c r="L34" i="21"/>
  <c r="K34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X32" i="21"/>
  <c r="W32" i="21"/>
  <c r="X31" i="21"/>
  <c r="X34" i="21" s="1"/>
  <c r="W31" i="21"/>
  <c r="W34" i="21" s="1"/>
  <c r="X30" i="21"/>
  <c r="W30" i="21"/>
  <c r="W33" i="21" s="1"/>
  <c r="X29" i="21"/>
  <c r="W29" i="21"/>
  <c r="V28" i="21"/>
  <c r="U28" i="21"/>
  <c r="V27" i="21"/>
  <c r="U27" i="21"/>
  <c r="S27" i="21"/>
  <c r="P27" i="21"/>
  <c r="O27" i="21"/>
  <c r="N27" i="21"/>
  <c r="M27" i="21"/>
  <c r="L27" i="21"/>
  <c r="K27" i="21"/>
  <c r="V26" i="21"/>
  <c r="U26" i="21"/>
  <c r="T26" i="21"/>
  <c r="T28" i="21" s="1"/>
  <c r="S26" i="21"/>
  <c r="S28" i="21" s="1"/>
  <c r="P26" i="21"/>
  <c r="P28" i="21" s="1"/>
  <c r="O26" i="21"/>
  <c r="O28" i="21" s="1"/>
  <c r="N26" i="21"/>
  <c r="N28" i="21" s="1"/>
  <c r="M26" i="21"/>
  <c r="M28" i="21" s="1"/>
  <c r="L26" i="21"/>
  <c r="L28" i="21" s="1"/>
  <c r="K26" i="21"/>
  <c r="K28" i="21" s="1"/>
  <c r="X25" i="21"/>
  <c r="W25" i="21"/>
  <c r="X24" i="21"/>
  <c r="W24" i="21"/>
  <c r="X23" i="21"/>
  <c r="W23" i="21"/>
  <c r="X22" i="21"/>
  <c r="W22" i="21"/>
  <c r="W21" i="21"/>
  <c r="T21" i="21"/>
  <c r="T27" i="21" s="1"/>
  <c r="X20" i="21"/>
  <c r="W20" i="21"/>
  <c r="V19" i="21"/>
  <c r="U19" i="21"/>
  <c r="V18" i="21"/>
  <c r="U18" i="21"/>
  <c r="T18" i="21"/>
  <c r="S18" i="21"/>
  <c r="P18" i="21"/>
  <c r="O18" i="21"/>
  <c r="N18" i="21"/>
  <c r="M18" i="21"/>
  <c r="L18" i="21"/>
  <c r="K18" i="21"/>
  <c r="V17" i="21"/>
  <c r="U17" i="21"/>
  <c r="T17" i="21"/>
  <c r="T19" i="21" s="1"/>
  <c r="S17" i="21"/>
  <c r="S19" i="21" s="1"/>
  <c r="P17" i="21"/>
  <c r="P19" i="21" s="1"/>
  <c r="O17" i="21"/>
  <c r="O19" i="21" s="1"/>
  <c r="N17" i="21"/>
  <c r="N19" i="21" s="1"/>
  <c r="M17" i="21"/>
  <c r="M19" i="21" s="1"/>
  <c r="L17" i="21"/>
  <c r="K17" i="21"/>
  <c r="K19" i="21" s="1"/>
  <c r="X16" i="21"/>
  <c r="W16" i="21"/>
  <c r="X15" i="21"/>
  <c r="W15" i="21"/>
  <c r="X14" i="21"/>
  <c r="W14" i="21"/>
  <c r="W17" i="21" s="1"/>
  <c r="X13" i="21"/>
  <c r="W13" i="21"/>
  <c r="X12" i="21"/>
  <c r="W12" i="21"/>
  <c r="X11" i="21"/>
  <c r="W11" i="21"/>
  <c r="X9" i="21"/>
  <c r="X8" i="21"/>
  <c r="X10" i="21" s="1"/>
  <c r="X7" i="21"/>
  <c r="W7" i="21"/>
  <c r="X6" i="21"/>
  <c r="W6" i="21"/>
  <c r="X5" i="21"/>
  <c r="W5" i="21"/>
  <c r="W8" i="21" s="1"/>
  <c r="W10" i="21" s="1"/>
  <c r="X4" i="21"/>
  <c r="W4" i="21"/>
  <c r="W9" i="21" s="1"/>
  <c r="X3" i="21"/>
  <c r="W3" i="21"/>
  <c r="X2" i="21"/>
  <c r="W2" i="21"/>
  <c r="L193" i="5" l="1"/>
  <c r="K82" i="48"/>
  <c r="K169" i="5"/>
  <c r="J72" i="48"/>
  <c r="L157" i="5"/>
  <c r="K67" i="48"/>
  <c r="L145" i="5"/>
  <c r="K62" i="48"/>
  <c r="L133" i="5"/>
  <c r="K57" i="48"/>
  <c r="K109" i="5"/>
  <c r="J47" i="48"/>
  <c r="H29" i="50" s="1"/>
  <c r="H31" i="50" s="1"/>
  <c r="I181" i="5"/>
  <c r="H77" i="48"/>
  <c r="F39" i="50" s="1"/>
  <c r="F41" i="50" s="1"/>
  <c r="O23" i="5"/>
  <c r="C15" i="10"/>
  <c r="C29" i="10"/>
  <c r="C85" i="10"/>
  <c r="C22" i="10"/>
  <c r="C57" i="10"/>
  <c r="C50" i="10"/>
  <c r="C43" i="10"/>
  <c r="C71" i="10"/>
  <c r="C36" i="10"/>
  <c r="C64" i="10"/>
  <c r="L78" i="10"/>
  <c r="L85" i="10"/>
  <c r="L71" i="10"/>
  <c r="L43" i="10"/>
  <c r="L29" i="10"/>
  <c r="L64" i="10"/>
  <c r="L36" i="10"/>
  <c r="L57" i="10"/>
  <c r="L50" i="10"/>
  <c r="L22" i="10"/>
  <c r="L83" i="10"/>
  <c r="L76" i="10"/>
  <c r="L62" i="10"/>
  <c r="L48" i="10"/>
  <c r="L34" i="10"/>
  <c r="L20" i="10"/>
  <c r="L69" i="10"/>
  <c r="L41" i="10"/>
  <c r="L55" i="10"/>
  <c r="L27" i="10"/>
  <c r="L15" i="10"/>
  <c r="L13" i="10"/>
  <c r="X284" i="21"/>
  <c r="X285" i="21"/>
  <c r="X286" i="21"/>
  <c r="X287" i="21"/>
  <c r="K288" i="21"/>
  <c r="S288" i="21"/>
  <c r="N251" i="21"/>
  <c r="L251" i="21"/>
  <c r="P251" i="21"/>
  <c r="M252" i="21"/>
  <c r="Q252" i="21"/>
  <c r="K251" i="21"/>
  <c r="M251" i="21"/>
  <c r="O251" i="21"/>
  <c r="Q251" i="21"/>
  <c r="V249" i="21"/>
  <c r="S249" i="21"/>
  <c r="K249" i="21"/>
  <c r="K252" i="21"/>
  <c r="O252" i="21"/>
  <c r="V252" i="21"/>
  <c r="U252" i="21"/>
  <c r="R252" i="21"/>
  <c r="P252" i="21"/>
  <c r="N252" i="21"/>
  <c r="L252" i="21"/>
  <c r="S52" i="21"/>
  <c r="W77" i="21"/>
  <c r="M249" i="21"/>
  <c r="Q249" i="21"/>
  <c r="U249" i="21"/>
  <c r="O250" i="21"/>
  <c r="T252" i="21"/>
  <c r="S251" i="21"/>
  <c r="L249" i="21"/>
  <c r="N249" i="21"/>
  <c r="P249" i="21"/>
  <c r="R249" i="21"/>
  <c r="T249" i="21"/>
  <c r="K250" i="21"/>
  <c r="S250" i="21"/>
  <c r="U251" i="21"/>
  <c r="X49" i="21"/>
  <c r="X54" i="21"/>
  <c r="X55" i="21"/>
  <c r="X56" i="21"/>
  <c r="X57" i="21"/>
  <c r="W62" i="21"/>
  <c r="W67" i="21"/>
  <c r="W70" i="21"/>
  <c r="W72" i="21"/>
  <c r="W80" i="21"/>
  <c r="M250" i="21"/>
  <c r="Q250" i="21"/>
  <c r="U250" i="21"/>
  <c r="R251" i="21"/>
  <c r="T251" i="21"/>
  <c r="X50" i="21"/>
  <c r="O52" i="21"/>
  <c r="X51" i="21"/>
  <c r="O53" i="21"/>
  <c r="S53" i="21"/>
  <c r="U52" i="21"/>
  <c r="W253" i="21"/>
  <c r="V253" i="21" s="1"/>
  <c r="M58" i="21"/>
  <c r="Q58" i="21"/>
  <c r="W82" i="21"/>
  <c r="L250" i="21"/>
  <c r="N250" i="21"/>
  <c r="P250" i="21"/>
  <c r="R250" i="21"/>
  <c r="T250" i="21"/>
  <c r="V250" i="21"/>
  <c r="X265" i="21"/>
  <c r="X270" i="21"/>
  <c r="X271" i="21"/>
  <c r="X272" i="21"/>
  <c r="X273" i="21"/>
  <c r="K274" i="21"/>
  <c r="S274" i="21"/>
  <c r="L295" i="21"/>
  <c r="W27" i="21"/>
  <c r="X33" i="21"/>
  <c r="P295" i="21"/>
  <c r="X306" i="21"/>
  <c r="X307" i="21"/>
  <c r="X308" i="21"/>
  <c r="K309" i="21"/>
  <c r="S309" i="21"/>
  <c r="M342" i="21"/>
  <c r="O281" i="21"/>
  <c r="O302" i="21"/>
  <c r="Q342" i="21"/>
  <c r="X40" i="21"/>
  <c r="M191" i="21"/>
  <c r="M197" i="21" s="1"/>
  <c r="Q191" i="21"/>
  <c r="X17" i="21"/>
  <c r="X19" i="21" s="1"/>
  <c r="X18" i="21"/>
  <c r="K197" i="21"/>
  <c r="O197" i="21"/>
  <c r="S197" i="21"/>
  <c r="X277" i="21"/>
  <c r="X278" i="21"/>
  <c r="X279" i="21"/>
  <c r="X280" i="21"/>
  <c r="K281" i="21"/>
  <c r="S281" i="21"/>
  <c r="X291" i="21"/>
  <c r="X292" i="21"/>
  <c r="X293" i="21"/>
  <c r="K302" i="21"/>
  <c r="S302" i="21"/>
  <c r="O316" i="21"/>
  <c r="X323" i="21"/>
  <c r="X335" i="21"/>
  <c r="X336" i="21"/>
  <c r="X341" i="21"/>
  <c r="K342" i="21"/>
  <c r="O342" i="21"/>
  <c r="S342" i="21"/>
  <c r="AE9" i="21"/>
  <c r="X39" i="21"/>
  <c r="W47" i="21"/>
  <c r="L191" i="21"/>
  <c r="N191" i="21"/>
  <c r="P191" i="21"/>
  <c r="P197" i="21" s="1"/>
  <c r="R191" i="21"/>
  <c r="T191" i="21"/>
  <c r="T197" i="21" s="1"/>
  <c r="V191" i="21"/>
  <c r="X192" i="21"/>
  <c r="X193" i="21"/>
  <c r="X231" i="21"/>
  <c r="M274" i="21"/>
  <c r="Q274" i="21"/>
  <c r="U274" i="21"/>
  <c r="M281" i="21"/>
  <c r="Q281" i="21"/>
  <c r="U281" i="21"/>
  <c r="M288" i="21"/>
  <c r="Q288" i="21"/>
  <c r="U288" i="21"/>
  <c r="N295" i="21"/>
  <c r="S295" i="21"/>
  <c r="M302" i="21"/>
  <c r="Q302" i="21"/>
  <c r="M309" i="21"/>
  <c r="Q309" i="21"/>
  <c r="U309" i="21"/>
  <c r="X319" i="21"/>
  <c r="O321" i="21"/>
  <c r="S321" i="21"/>
  <c r="Q197" i="21"/>
  <c r="U197" i="21"/>
  <c r="N225" i="21"/>
  <c r="R225" i="21"/>
  <c r="V225" i="21"/>
  <c r="K303" i="21"/>
  <c r="X303" i="21" s="1"/>
  <c r="O303" i="21"/>
  <c r="S303" i="21"/>
  <c r="O325" i="21"/>
  <c r="S325" i="21"/>
  <c r="W18" i="21"/>
  <c r="W19" i="21"/>
  <c r="AE27" i="21"/>
  <c r="X27" i="21"/>
  <c r="X48" i="21"/>
  <c r="W87" i="21"/>
  <c r="W90" i="21"/>
  <c r="W93" i="21"/>
  <c r="W99" i="21"/>
  <c r="W114" i="21"/>
  <c r="X121" i="21"/>
  <c r="W127" i="21"/>
  <c r="W128" i="21"/>
  <c r="X135" i="21"/>
  <c r="W141" i="21"/>
  <c r="W142" i="21"/>
  <c r="X149" i="21"/>
  <c r="W155" i="21"/>
  <c r="W156" i="21"/>
  <c r="X163" i="21"/>
  <c r="W169" i="21"/>
  <c r="W170" i="21"/>
  <c r="X177" i="21"/>
  <c r="L198" i="21"/>
  <c r="N198" i="21"/>
  <c r="P198" i="21"/>
  <c r="R198" i="21"/>
  <c r="T198" i="21"/>
  <c r="V198" i="21"/>
  <c r="X202" i="21"/>
  <c r="M207" i="21"/>
  <c r="O207" i="21"/>
  <c r="Q207" i="21"/>
  <c r="S207" i="21"/>
  <c r="U207" i="21"/>
  <c r="X203" i="21"/>
  <c r="X209" i="21"/>
  <c r="K212" i="21"/>
  <c r="M212" i="21"/>
  <c r="O212" i="21"/>
  <c r="Q212" i="21"/>
  <c r="S212" i="21"/>
  <c r="U212" i="21"/>
  <c r="X211" i="21"/>
  <c r="M213" i="21"/>
  <c r="O213" i="21"/>
  <c r="Q213" i="21"/>
  <c r="S213" i="21"/>
  <c r="U213" i="21"/>
  <c r="X216" i="21"/>
  <c r="K221" i="21"/>
  <c r="M221" i="21"/>
  <c r="O221" i="21"/>
  <c r="Q221" i="21"/>
  <c r="S221" i="21"/>
  <c r="U221" i="21"/>
  <c r="X223" i="21"/>
  <c r="K225" i="21"/>
  <c r="M225" i="21"/>
  <c r="O225" i="21"/>
  <c r="Q225" i="21"/>
  <c r="S225" i="21"/>
  <c r="U225" i="21"/>
  <c r="X229" i="21"/>
  <c r="X238" i="21"/>
  <c r="X240" i="21"/>
  <c r="X241" i="21"/>
  <c r="X242" i="21"/>
  <c r="X243" i="21"/>
  <c r="M247" i="21"/>
  <c r="O247" i="21"/>
  <c r="Q247" i="21"/>
  <c r="S247" i="21"/>
  <c r="U247" i="21"/>
  <c r="X244" i="21"/>
  <c r="X245" i="21"/>
  <c r="K248" i="21"/>
  <c r="M248" i="21"/>
  <c r="O248" i="21"/>
  <c r="Q248" i="21"/>
  <c r="S248" i="21"/>
  <c r="U248" i="21"/>
  <c r="X256" i="21"/>
  <c r="X257" i="21"/>
  <c r="M261" i="21"/>
  <c r="O261" i="21"/>
  <c r="Q261" i="21"/>
  <c r="S261" i="21"/>
  <c r="U261" i="21"/>
  <c r="X258" i="21"/>
  <c r="X259" i="21"/>
  <c r="AE10" i="21"/>
  <c r="AF11" i="21" s="1"/>
  <c r="AE18" i="21"/>
  <c r="AF23" i="21" s="1"/>
  <c r="X87" i="21"/>
  <c r="X90" i="21"/>
  <c r="X93" i="21"/>
  <c r="X114" i="21"/>
  <c r="W120" i="21"/>
  <c r="W121" i="21"/>
  <c r="X128" i="21"/>
  <c r="W134" i="21"/>
  <c r="W135" i="21"/>
  <c r="X142" i="21"/>
  <c r="W148" i="21"/>
  <c r="W149" i="21"/>
  <c r="X156" i="21"/>
  <c r="W162" i="21"/>
  <c r="W163" i="21"/>
  <c r="X170" i="21"/>
  <c r="W177" i="21"/>
  <c r="N197" i="21"/>
  <c r="R197" i="21"/>
  <c r="V197" i="21"/>
  <c r="K196" i="21"/>
  <c r="M196" i="21"/>
  <c r="M198" i="21" s="1"/>
  <c r="O196" i="21"/>
  <c r="O198" i="21" s="1"/>
  <c r="Q196" i="21"/>
  <c r="Q198" i="21" s="1"/>
  <c r="S196" i="21"/>
  <c r="S198" i="21" s="1"/>
  <c r="U196" i="21"/>
  <c r="U198" i="21" s="1"/>
  <c r="W206" i="21"/>
  <c r="L221" i="21"/>
  <c r="P221" i="21"/>
  <c r="T221" i="21"/>
  <c r="L248" i="21"/>
  <c r="N248" i="21"/>
  <c r="P248" i="21"/>
  <c r="R248" i="21"/>
  <c r="T248" i="21"/>
  <c r="V248" i="21"/>
  <c r="L262" i="21"/>
  <c r="N262" i="21"/>
  <c r="P262" i="21"/>
  <c r="R262" i="21"/>
  <c r="T262" i="21"/>
  <c r="V262" i="21"/>
  <c r="K262" i="21"/>
  <c r="M262" i="21"/>
  <c r="O262" i="21"/>
  <c r="Q262" i="21"/>
  <c r="S262" i="21"/>
  <c r="U262" i="21"/>
  <c r="X263" i="21"/>
  <c r="X264" i="21"/>
  <c r="M268" i="21"/>
  <c r="O268" i="21"/>
  <c r="Q268" i="21"/>
  <c r="S268" i="21"/>
  <c r="U268" i="21"/>
  <c r="X266" i="21"/>
  <c r="L274" i="21"/>
  <c r="L276" i="21" s="1"/>
  <c r="N274" i="21"/>
  <c r="N276" i="21" s="1"/>
  <c r="P274" i="21"/>
  <c r="P276" i="21" s="1"/>
  <c r="R274" i="21"/>
  <c r="R276" i="21" s="1"/>
  <c r="T274" i="21"/>
  <c r="T276" i="21" s="1"/>
  <c r="V274" i="21"/>
  <c r="V276" i="21" s="1"/>
  <c r="L281" i="21"/>
  <c r="L283" i="21" s="1"/>
  <c r="N281" i="21"/>
  <c r="N283" i="21" s="1"/>
  <c r="P281" i="21"/>
  <c r="P283" i="21" s="1"/>
  <c r="R281" i="21"/>
  <c r="R283" i="21" s="1"/>
  <c r="T281" i="21"/>
  <c r="T283" i="21" s="1"/>
  <c r="V281" i="21"/>
  <c r="V283" i="21" s="1"/>
  <c r="L288" i="21"/>
  <c r="L290" i="21" s="1"/>
  <c r="N288" i="21"/>
  <c r="N290" i="21" s="1"/>
  <c r="P288" i="21"/>
  <c r="P290" i="21" s="1"/>
  <c r="R288" i="21"/>
  <c r="R290" i="21" s="1"/>
  <c r="T288" i="21"/>
  <c r="T290" i="21" s="1"/>
  <c r="V288" i="21"/>
  <c r="V290" i="21" s="1"/>
  <c r="N297" i="21"/>
  <c r="S297" i="21"/>
  <c r="L303" i="21"/>
  <c r="N303" i="21"/>
  <c r="P303" i="21"/>
  <c r="R303" i="21"/>
  <c r="T303" i="21"/>
  <c r="V303" i="21"/>
  <c r="M304" i="21"/>
  <c r="Q304" i="21"/>
  <c r="U304" i="21"/>
  <c r="K311" i="21"/>
  <c r="O311" i="21"/>
  <c r="S311" i="21"/>
  <c r="X312" i="21"/>
  <c r="O317" i="21"/>
  <c r="S317" i="21"/>
  <c r="X314" i="21"/>
  <c r="X315" i="21"/>
  <c r="K316" i="21"/>
  <c r="S316" i="21"/>
  <c r="S318" i="21" s="1"/>
  <c r="L321" i="21"/>
  <c r="N321" i="21"/>
  <c r="P321" i="21"/>
  <c r="R321" i="21"/>
  <c r="T321" i="21"/>
  <c r="V321" i="21"/>
  <c r="L325" i="21"/>
  <c r="N325" i="21"/>
  <c r="P325" i="21"/>
  <c r="R325" i="21"/>
  <c r="T325" i="21"/>
  <c r="V325" i="21"/>
  <c r="L328" i="21"/>
  <c r="N328" i="21"/>
  <c r="P328" i="21"/>
  <c r="R328" i="21"/>
  <c r="T328" i="21"/>
  <c r="V328" i="21"/>
  <c r="X330" i="21"/>
  <c r="L334" i="21"/>
  <c r="N334" i="21"/>
  <c r="P334" i="21"/>
  <c r="R334" i="21"/>
  <c r="T334" i="21"/>
  <c r="V334" i="21"/>
  <c r="O343" i="21"/>
  <c r="S343" i="21"/>
  <c r="V343" i="21"/>
  <c r="M275" i="21"/>
  <c r="O275" i="21"/>
  <c r="Q275" i="21"/>
  <c r="S275" i="21"/>
  <c r="U275" i="21"/>
  <c r="K276" i="21"/>
  <c r="M276" i="21"/>
  <c r="O276" i="21"/>
  <c r="Q276" i="21"/>
  <c r="S276" i="21"/>
  <c r="U276" i="21"/>
  <c r="M282" i="21"/>
  <c r="O282" i="21"/>
  <c r="Q282" i="21"/>
  <c r="S282" i="21"/>
  <c r="U282" i="21"/>
  <c r="K283" i="21"/>
  <c r="M283" i="21"/>
  <c r="O283" i="21"/>
  <c r="Q283" i="21"/>
  <c r="S283" i="21"/>
  <c r="U283" i="21"/>
  <c r="M289" i="21"/>
  <c r="O289" i="21"/>
  <c r="Q289" i="21"/>
  <c r="S289" i="21"/>
  <c r="U289" i="21"/>
  <c r="K290" i="21"/>
  <c r="M290" i="21"/>
  <c r="O290" i="21"/>
  <c r="Q290" i="21"/>
  <c r="S290" i="21"/>
  <c r="U290" i="21"/>
  <c r="M296" i="21"/>
  <c r="O296" i="21"/>
  <c r="Q296" i="21"/>
  <c r="S296" i="21"/>
  <c r="U296" i="21"/>
  <c r="X294" i="21"/>
  <c r="L297" i="21"/>
  <c r="P297" i="21"/>
  <c r="U297" i="21"/>
  <c r="X298" i="21"/>
  <c r="X299" i="21"/>
  <c r="X300" i="21"/>
  <c r="O304" i="21"/>
  <c r="S304" i="21"/>
  <c r="L310" i="21"/>
  <c r="N310" i="21"/>
  <c r="P310" i="21"/>
  <c r="R310" i="21"/>
  <c r="T310" i="21"/>
  <c r="V310" i="21"/>
  <c r="M311" i="21"/>
  <c r="Q311" i="21"/>
  <c r="U311" i="21"/>
  <c r="L317" i="21"/>
  <c r="N317" i="21"/>
  <c r="P317" i="21"/>
  <c r="R317" i="21"/>
  <c r="T317" i="21"/>
  <c r="V317" i="21"/>
  <c r="O318" i="21"/>
  <c r="U318" i="21"/>
  <c r="X320" i="21"/>
  <c r="K321" i="21"/>
  <c r="X324" i="21"/>
  <c r="K325" i="21"/>
  <c r="X327" i="21"/>
  <c r="L331" i="21"/>
  <c r="N331" i="21"/>
  <c r="P331" i="21"/>
  <c r="R331" i="21"/>
  <c r="T331" i="21"/>
  <c r="V331" i="21"/>
  <c r="X333" i="21"/>
  <c r="X340" i="21"/>
  <c r="X339" i="21"/>
  <c r="M343" i="21"/>
  <c r="Q343" i="21"/>
  <c r="U342" i="21"/>
  <c r="U343" i="21" s="1"/>
  <c r="L19" i="21"/>
  <c r="X21" i="21"/>
  <c r="AD24" i="21"/>
  <c r="AD25" i="21" s="1"/>
  <c r="X26" i="21"/>
  <c r="X28" i="21" s="1"/>
  <c r="AE28" i="21" s="1"/>
  <c r="X47" i="21"/>
  <c r="W50" i="21"/>
  <c r="K52" i="21"/>
  <c r="W54" i="21"/>
  <c r="W56" i="21"/>
  <c r="K58" i="21"/>
  <c r="M59" i="21"/>
  <c r="Q59" i="21"/>
  <c r="X63" i="21"/>
  <c r="X68" i="21"/>
  <c r="X78" i="21"/>
  <c r="X221" i="21"/>
  <c r="X225" i="21"/>
  <c r="W26" i="21"/>
  <c r="W28" i="21" s="1"/>
  <c r="W39" i="21"/>
  <c r="M40" i="21"/>
  <c r="W38" i="21"/>
  <c r="W40" i="21" s="1"/>
  <c r="W49" i="21"/>
  <c r="W51" i="21"/>
  <c r="K53" i="21"/>
  <c r="W55" i="21"/>
  <c r="W57" i="21"/>
  <c r="U58" i="21"/>
  <c r="K59" i="21"/>
  <c r="K198" i="21"/>
  <c r="X196" i="21"/>
  <c r="L52" i="21"/>
  <c r="N52" i="21"/>
  <c r="P52" i="21"/>
  <c r="R52" i="21"/>
  <c r="T52" i="21"/>
  <c r="V52" i="21"/>
  <c r="V58" i="21"/>
  <c r="X60" i="21"/>
  <c r="X61" i="21"/>
  <c r="X62" i="21"/>
  <c r="V63" i="21"/>
  <c r="X65" i="21"/>
  <c r="X66" i="21"/>
  <c r="X67" i="21"/>
  <c r="X70" i="21"/>
  <c r="X71" i="21"/>
  <c r="X72" i="21"/>
  <c r="L73" i="21"/>
  <c r="N73" i="21"/>
  <c r="P73" i="21"/>
  <c r="R73" i="21"/>
  <c r="T73" i="21"/>
  <c r="V73" i="21"/>
  <c r="X75" i="21"/>
  <c r="X76" i="21"/>
  <c r="X77" i="21"/>
  <c r="X80" i="21"/>
  <c r="X81" i="21"/>
  <c r="X82" i="21"/>
  <c r="L83" i="21"/>
  <c r="N83" i="21"/>
  <c r="P83" i="21"/>
  <c r="R83" i="21"/>
  <c r="T83" i="21"/>
  <c r="W172" i="21"/>
  <c r="W173" i="21" s="1"/>
  <c r="L197" i="21"/>
  <c r="L201" i="21"/>
  <c r="N201" i="21"/>
  <c r="X201" i="21" s="1"/>
  <c r="P201" i="21"/>
  <c r="R201" i="21"/>
  <c r="T201" i="21"/>
  <c r="V201" i="21"/>
  <c r="AD202" i="21"/>
  <c r="K205" i="21"/>
  <c r="M205" i="21"/>
  <c r="O205" i="21"/>
  <c r="Q205" i="21"/>
  <c r="S205" i="21"/>
  <c r="U205" i="21"/>
  <c r="K207" i="21"/>
  <c r="X210" i="21"/>
  <c r="K213" i="21"/>
  <c r="X213" i="21" s="1"/>
  <c r="W221" i="21"/>
  <c r="X237" i="21"/>
  <c r="X248" i="21"/>
  <c r="X262" i="21"/>
  <c r="W60" i="21"/>
  <c r="W61" i="21"/>
  <c r="W65" i="21"/>
  <c r="W66" i="21"/>
  <c r="W71" i="21"/>
  <c r="K73" i="21"/>
  <c r="M73" i="21"/>
  <c r="O73" i="21"/>
  <c r="Q73" i="21"/>
  <c r="S73" i="21"/>
  <c r="U73" i="21"/>
  <c r="W75" i="21"/>
  <c r="W76" i="21"/>
  <c r="W81" i="21"/>
  <c r="K83" i="21"/>
  <c r="M83" i="21"/>
  <c r="O83" i="21"/>
  <c r="Q83" i="21"/>
  <c r="S83" i="21"/>
  <c r="U83" i="21"/>
  <c r="X172" i="21"/>
  <c r="X173" i="21" s="1"/>
  <c r="X194" i="21"/>
  <c r="L212" i="21"/>
  <c r="N212" i="21"/>
  <c r="P212" i="21"/>
  <c r="R212" i="21"/>
  <c r="T212" i="21"/>
  <c r="V212" i="21"/>
  <c r="X217" i="21"/>
  <c r="X224" i="21"/>
  <c r="V255" i="21"/>
  <c r="T255" i="21"/>
  <c r="R255" i="21"/>
  <c r="P255" i="21"/>
  <c r="N255" i="21"/>
  <c r="L255" i="21"/>
  <c r="U255" i="21"/>
  <c r="S255" i="21"/>
  <c r="Q255" i="21"/>
  <c r="O255" i="21"/>
  <c r="M255" i="21"/>
  <c r="K255" i="21"/>
  <c r="V267" i="21"/>
  <c r="V269" i="21" s="1"/>
  <c r="T267" i="21"/>
  <c r="T269" i="21" s="1"/>
  <c r="R267" i="21"/>
  <c r="R269" i="21" s="1"/>
  <c r="P267" i="21"/>
  <c r="P269" i="21" s="1"/>
  <c r="N267" i="21"/>
  <c r="N269" i="21" s="1"/>
  <c r="L267" i="21"/>
  <c r="L269" i="21" s="1"/>
  <c r="W269" i="21"/>
  <c r="U267" i="21"/>
  <c r="U269" i="21" s="1"/>
  <c r="S267" i="21"/>
  <c r="S269" i="21" s="1"/>
  <c r="Q267" i="21"/>
  <c r="Q269" i="21" s="1"/>
  <c r="O267" i="21"/>
  <c r="O269" i="21" s="1"/>
  <c r="M267" i="21"/>
  <c r="M269" i="21" s="1"/>
  <c r="K267" i="21"/>
  <c r="X227" i="21"/>
  <c r="K247" i="21"/>
  <c r="X247" i="21" s="1"/>
  <c r="W254" i="21"/>
  <c r="K261" i="21"/>
  <c r="X261" i="21" s="1"/>
  <c r="K268" i="21"/>
  <c r="X268" i="21" s="1"/>
  <c r="K275" i="21"/>
  <c r="X275" i="21" s="1"/>
  <c r="K282" i="21"/>
  <c r="X282" i="21" s="1"/>
  <c r="K289" i="21"/>
  <c r="X289" i="21" s="1"/>
  <c r="L296" i="21"/>
  <c r="N296" i="21"/>
  <c r="P296" i="21"/>
  <c r="R296" i="21"/>
  <c r="T296" i="21"/>
  <c r="V296" i="21"/>
  <c r="K295" i="21"/>
  <c r="M295" i="21"/>
  <c r="M297" i="21" s="1"/>
  <c r="O295" i="21"/>
  <c r="O297" i="21" s="1"/>
  <c r="Q295" i="21"/>
  <c r="Q297" i="21" s="1"/>
  <c r="K296" i="21"/>
  <c r="X296" i="21" s="1"/>
  <c r="X301" i="21"/>
  <c r="W304" i="21"/>
  <c r="V302" i="21"/>
  <c r="V304" i="21" s="1"/>
  <c r="T302" i="21"/>
  <c r="T304" i="21" s="1"/>
  <c r="R302" i="21"/>
  <c r="R304" i="21" s="1"/>
  <c r="P302" i="21"/>
  <c r="P304" i="21" s="1"/>
  <c r="N302" i="21"/>
  <c r="N304" i="21" s="1"/>
  <c r="L302" i="21"/>
  <c r="L304" i="21" s="1"/>
  <c r="K304" i="21"/>
  <c r="X246" i="21"/>
  <c r="X260" i="21"/>
  <c r="X274" i="21"/>
  <c r="X281" i="21"/>
  <c r="X288" i="21"/>
  <c r="V295" i="21"/>
  <c r="V297" i="21" s="1"/>
  <c r="T295" i="21"/>
  <c r="T297" i="21" s="1"/>
  <c r="R295" i="21"/>
  <c r="R297" i="21" s="1"/>
  <c r="W297" i="21"/>
  <c r="L309" i="21"/>
  <c r="L311" i="21" s="1"/>
  <c r="N309" i="21"/>
  <c r="N311" i="21" s="1"/>
  <c r="P309" i="21"/>
  <c r="P311" i="21" s="1"/>
  <c r="R309" i="21"/>
  <c r="R311" i="21" s="1"/>
  <c r="T309" i="21"/>
  <c r="T311" i="21" s="1"/>
  <c r="V309" i="21"/>
  <c r="V311" i="21" s="1"/>
  <c r="X313" i="21"/>
  <c r="M316" i="21"/>
  <c r="M318" i="21" s="1"/>
  <c r="Q316" i="21"/>
  <c r="Q318" i="21" s="1"/>
  <c r="K317" i="21"/>
  <c r="X317" i="21" s="1"/>
  <c r="X326" i="21"/>
  <c r="X305" i="21"/>
  <c r="V316" i="21"/>
  <c r="V318" i="21" s="1"/>
  <c r="T316" i="21"/>
  <c r="T318" i="21" s="1"/>
  <c r="R316" i="21"/>
  <c r="R318" i="21" s="1"/>
  <c r="P316" i="21"/>
  <c r="P318" i="21" s="1"/>
  <c r="N316" i="21"/>
  <c r="N318" i="21" s="1"/>
  <c r="L316" i="21"/>
  <c r="L318" i="21" s="1"/>
  <c r="K318" i="21"/>
  <c r="W318" i="21"/>
  <c r="X321" i="21"/>
  <c r="X325" i="21"/>
  <c r="X329" i="21"/>
  <c r="X332" i="21"/>
  <c r="K343" i="21"/>
  <c r="X338" i="21"/>
  <c r="L342" i="21"/>
  <c r="L343" i="21" s="1"/>
  <c r="N342" i="21"/>
  <c r="N343" i="21" s="1"/>
  <c r="P342" i="21"/>
  <c r="P343" i="21" s="1"/>
  <c r="R342" i="21"/>
  <c r="R343" i="21" s="1"/>
  <c r="T342" i="21"/>
  <c r="T343" i="21" s="1"/>
  <c r="Q10" i="5"/>
  <c r="Q9" i="5"/>
  <c r="Q22" i="5"/>
  <c r="Q34" i="5"/>
  <c r="Q58" i="5"/>
  <c r="Q57" i="5"/>
  <c r="Q70" i="5"/>
  <c r="Q69" i="5"/>
  <c r="Q82" i="5"/>
  <c r="Q94" i="5"/>
  <c r="Q106" i="5"/>
  <c r="Q190" i="5"/>
  <c r="Q189" i="5"/>
  <c r="Q187" i="5"/>
  <c r="Q186" i="5"/>
  <c r="Q178" i="5"/>
  <c r="Q177" i="5"/>
  <c r="Q175" i="5"/>
  <c r="Q174" i="5"/>
  <c r="Q166" i="5"/>
  <c r="Q165" i="5"/>
  <c r="Q163" i="5"/>
  <c r="Q162" i="5"/>
  <c r="Q154" i="5"/>
  <c r="Q153" i="5"/>
  <c r="Q151" i="5"/>
  <c r="Q150" i="5"/>
  <c r="Q142" i="5"/>
  <c r="Q141" i="5"/>
  <c r="Q139" i="5"/>
  <c r="Q138" i="5"/>
  <c r="Q130" i="5"/>
  <c r="Q129" i="5"/>
  <c r="Q127" i="5"/>
  <c r="Q126" i="5"/>
  <c r="Q118" i="5"/>
  <c r="Q117" i="5"/>
  <c r="Q115" i="5"/>
  <c r="Q114" i="5"/>
  <c r="Q105" i="5"/>
  <c r="Q103" i="5"/>
  <c r="Q102" i="5"/>
  <c r="Q93" i="5"/>
  <c r="Q91" i="5"/>
  <c r="Q90" i="5"/>
  <c r="Q81" i="5"/>
  <c r="Q79" i="5"/>
  <c r="Q78" i="5"/>
  <c r="Q67" i="5"/>
  <c r="Q55" i="5"/>
  <c r="Q54" i="5"/>
  <c r="Q31" i="5"/>
  <c r="Q30" i="5"/>
  <c r="M193" i="5" l="1"/>
  <c r="L82" i="48"/>
  <c r="L169" i="5"/>
  <c r="K72" i="48"/>
  <c r="M157" i="5"/>
  <c r="L67" i="48"/>
  <c r="M145" i="5"/>
  <c r="L62" i="48"/>
  <c r="M133" i="5"/>
  <c r="L57" i="48"/>
  <c r="L109" i="5"/>
  <c r="K47" i="48"/>
  <c r="I29" i="50" s="1"/>
  <c r="I31" i="50" s="1"/>
  <c r="J181" i="5"/>
  <c r="I77" i="48"/>
  <c r="G39" i="50" s="1"/>
  <c r="G41" i="50" s="1"/>
  <c r="P23" i="5"/>
  <c r="S253" i="21"/>
  <c r="K253" i="21"/>
  <c r="P253" i="21"/>
  <c r="W79" i="21"/>
  <c r="M79" i="10"/>
  <c r="M65" i="10"/>
  <c r="M86" i="10"/>
  <c r="M72" i="10"/>
  <c r="M44" i="10"/>
  <c r="M30" i="10"/>
  <c r="M37" i="10"/>
  <c r="M58" i="10"/>
  <c r="M51" i="10"/>
  <c r="M23" i="10"/>
  <c r="M83" i="10"/>
  <c r="M76" i="10"/>
  <c r="M62" i="10"/>
  <c r="M48" i="10"/>
  <c r="M34" i="10"/>
  <c r="M20" i="10"/>
  <c r="M69" i="10"/>
  <c r="M55" i="10"/>
  <c r="M27" i="10"/>
  <c r="M41" i="10"/>
  <c r="L84" i="10"/>
  <c r="L70" i="10"/>
  <c r="L77" i="10"/>
  <c r="L63" i="10"/>
  <c r="L56" i="10"/>
  <c r="L49" i="10"/>
  <c r="L35" i="10"/>
  <c r="L21" i="10"/>
  <c r="L28" i="10"/>
  <c r="L42" i="10"/>
  <c r="M77" i="10"/>
  <c r="M63" i="10"/>
  <c r="M84" i="10"/>
  <c r="M70" i="10"/>
  <c r="M42" i="10"/>
  <c r="M28" i="10"/>
  <c r="M56" i="10"/>
  <c r="M49" i="10"/>
  <c r="M21" i="10"/>
  <c r="M35" i="10"/>
  <c r="L86" i="10"/>
  <c r="L79" i="10"/>
  <c r="L65" i="10"/>
  <c r="L58" i="10"/>
  <c r="L51" i="10"/>
  <c r="L37" i="10"/>
  <c r="L23" i="10"/>
  <c r="L72" i="10"/>
  <c r="L44" i="10"/>
  <c r="L30" i="10"/>
  <c r="M85" i="10"/>
  <c r="M71" i="10"/>
  <c r="M78" i="10"/>
  <c r="M64" i="10"/>
  <c r="M57" i="10"/>
  <c r="M50" i="10"/>
  <c r="M36" i="10"/>
  <c r="M22" i="10"/>
  <c r="M29" i="10"/>
  <c r="M43" i="10"/>
  <c r="Q56" i="5"/>
  <c r="Q104" i="5"/>
  <c r="Q116" i="5"/>
  <c r="Q128" i="5"/>
  <c r="Q188" i="5"/>
  <c r="Q176" i="5"/>
  <c r="Q164" i="5"/>
  <c r="Q152" i="5"/>
  <c r="Q140" i="5"/>
  <c r="Q92" i="5"/>
  <c r="Q80" i="5"/>
  <c r="Q32" i="5"/>
  <c r="N6" i="10"/>
  <c r="N8" i="10"/>
  <c r="M10" i="10"/>
  <c r="L16" i="10"/>
  <c r="N9" i="10"/>
  <c r="L14" i="10"/>
  <c r="N7" i="10"/>
  <c r="M14" i="10"/>
  <c r="M15" i="10"/>
  <c r="M16" i="10"/>
  <c r="M13" i="10"/>
  <c r="O253" i="21"/>
  <c r="L253" i="21"/>
  <c r="T253" i="21"/>
  <c r="M253" i="21"/>
  <c r="Q253" i="21"/>
  <c r="U253" i="21"/>
  <c r="N253" i="21"/>
  <c r="R253" i="21"/>
  <c r="X251" i="21"/>
  <c r="W69" i="21"/>
  <c r="X59" i="21"/>
  <c r="X252" i="21"/>
  <c r="W84" i="21"/>
  <c r="X58" i="21"/>
  <c r="X53" i="21"/>
  <c r="L10" i="10"/>
  <c r="X250" i="21"/>
  <c r="X249" i="21"/>
  <c r="X84" i="21"/>
  <c r="X74" i="21"/>
  <c r="X198" i="21"/>
  <c r="X197" i="21"/>
  <c r="W191" i="21"/>
  <c r="W197" i="21" s="1"/>
  <c r="AE19" i="21"/>
  <c r="X191" i="21"/>
  <c r="AF25" i="21"/>
  <c r="X309" i="21"/>
  <c r="X311" i="21"/>
  <c r="X212" i="21"/>
  <c r="W68" i="21"/>
  <c r="X290" i="21"/>
  <c r="X276" i="21"/>
  <c r="X283" i="21"/>
  <c r="X343" i="21"/>
  <c r="X318" i="21"/>
  <c r="X304" i="21"/>
  <c r="X302" i="21"/>
  <c r="X295" i="21"/>
  <c r="K297" i="21"/>
  <c r="X297" i="21" s="1"/>
  <c r="V254" i="21"/>
  <c r="T254" i="21"/>
  <c r="R254" i="21"/>
  <c r="P254" i="21"/>
  <c r="N254" i="21"/>
  <c r="L254" i="21"/>
  <c r="U254" i="21"/>
  <c r="S254" i="21"/>
  <c r="Q254" i="21"/>
  <c r="O254" i="21"/>
  <c r="M254" i="21"/>
  <c r="K254" i="21"/>
  <c r="X255" i="21"/>
  <c r="W78" i="21"/>
  <c r="X73" i="21"/>
  <c r="W64" i="21"/>
  <c r="W63" i="21"/>
  <c r="X205" i="21"/>
  <c r="T207" i="21"/>
  <c r="T206" i="21"/>
  <c r="P207" i="21"/>
  <c r="P206" i="21"/>
  <c r="L207" i="21"/>
  <c r="L206" i="21"/>
  <c r="X79" i="21"/>
  <c r="X69" i="21"/>
  <c r="X64" i="21"/>
  <c r="W83" i="21"/>
  <c r="X52" i="21"/>
  <c r="X316" i="21"/>
  <c r="X342" i="21"/>
  <c r="X267" i="21"/>
  <c r="K269" i="21"/>
  <c r="X269" i="21" s="1"/>
  <c r="X83" i="21"/>
  <c r="W74" i="21"/>
  <c r="W73" i="21"/>
  <c r="V207" i="21"/>
  <c r="V206" i="21"/>
  <c r="R207" i="21"/>
  <c r="R206" i="21"/>
  <c r="N207" i="21"/>
  <c r="N206" i="21"/>
  <c r="W59" i="21"/>
  <c r="W58" i="21"/>
  <c r="W53" i="21"/>
  <c r="W52" i="21"/>
  <c r="Q33" i="5"/>
  <c r="Q19" i="5"/>
  <c r="Q18" i="5"/>
  <c r="Q21" i="5"/>
  <c r="P24" i="20"/>
  <c r="BZ496" i="20"/>
  <c r="BO496" i="20"/>
  <c r="BN496" i="20"/>
  <c r="BM496" i="20"/>
  <c r="BL496" i="20"/>
  <c r="BK496" i="20"/>
  <c r="BJ496" i="20"/>
  <c r="BI496" i="20"/>
  <c r="BH496" i="20"/>
  <c r="BG496" i="20"/>
  <c r="BF496" i="20"/>
  <c r="BE496" i="20"/>
  <c r="BD496" i="20"/>
  <c r="BC496" i="20"/>
  <c r="BB496" i="20"/>
  <c r="BA496" i="20"/>
  <c r="AZ496" i="20"/>
  <c r="AY496" i="20"/>
  <c r="AX496" i="20"/>
  <c r="AW496" i="20"/>
  <c r="AV496" i="20"/>
  <c r="AU496" i="20"/>
  <c r="AT496" i="20"/>
  <c r="AS496" i="20"/>
  <c r="AR496" i="20"/>
  <c r="AQ496" i="20"/>
  <c r="AP496" i="20"/>
  <c r="AO496" i="20"/>
  <c r="AN496" i="20"/>
  <c r="AM496" i="20"/>
  <c r="AL496" i="20"/>
  <c r="AK496" i="20"/>
  <c r="AJ496" i="20"/>
  <c r="AI496" i="20"/>
  <c r="AH496" i="20"/>
  <c r="AG496" i="20"/>
  <c r="AF496" i="20"/>
  <c r="AE496" i="20"/>
  <c r="AD496" i="20"/>
  <c r="AC496" i="20"/>
  <c r="AB496" i="20"/>
  <c r="AA496" i="20"/>
  <c r="Z496" i="20"/>
  <c r="Y496" i="20"/>
  <c r="X496" i="20"/>
  <c r="W496" i="20"/>
  <c r="V496" i="20"/>
  <c r="U496" i="20"/>
  <c r="T496" i="20"/>
  <c r="S496" i="20"/>
  <c r="R496" i="20"/>
  <c r="Q496" i="20"/>
  <c r="P496" i="20"/>
  <c r="O496" i="20"/>
  <c r="N495" i="20"/>
  <c r="N494" i="20"/>
  <c r="N493" i="20"/>
  <c r="N492" i="20"/>
  <c r="N491" i="20"/>
  <c r="N490" i="20"/>
  <c r="N489" i="20"/>
  <c r="N488" i="20"/>
  <c r="N487" i="20"/>
  <c r="N486" i="20"/>
  <c r="N485" i="20"/>
  <c r="N484" i="20"/>
  <c r="N483" i="20"/>
  <c r="N482" i="20"/>
  <c r="N481" i="20"/>
  <c r="N480" i="20"/>
  <c r="N479" i="20"/>
  <c r="N478" i="20"/>
  <c r="N477" i="20"/>
  <c r="N476" i="20"/>
  <c r="N475" i="20"/>
  <c r="N496" i="20" s="1"/>
  <c r="BZ474" i="20"/>
  <c r="BO474" i="20"/>
  <c r="BN474" i="20"/>
  <c r="BM474" i="20"/>
  <c r="BL474" i="20"/>
  <c r="BK474" i="20"/>
  <c r="BJ474" i="20"/>
  <c r="BI474" i="20"/>
  <c r="BH474" i="20"/>
  <c r="BG474" i="20"/>
  <c r="BF474" i="20"/>
  <c r="BE474" i="20"/>
  <c r="BD474" i="20"/>
  <c r="BC474" i="20"/>
  <c r="BB474" i="20"/>
  <c r="BA474" i="20"/>
  <c r="AZ474" i="20"/>
  <c r="AY474" i="20"/>
  <c r="AX474" i="20"/>
  <c r="AW474" i="20"/>
  <c r="AV474" i="20"/>
  <c r="AU474" i="20"/>
  <c r="AT474" i="20"/>
  <c r="AS474" i="20"/>
  <c r="AR474" i="20"/>
  <c r="AQ474" i="20"/>
  <c r="AP474" i="20"/>
  <c r="AO474" i="20"/>
  <c r="AN474" i="20"/>
  <c r="AM474" i="20"/>
  <c r="AL474" i="20"/>
  <c r="AK474" i="20"/>
  <c r="AJ474" i="20"/>
  <c r="AI474" i="20"/>
  <c r="AH474" i="20"/>
  <c r="AG474" i="20"/>
  <c r="AF474" i="20"/>
  <c r="AE474" i="20"/>
  <c r="AD474" i="20"/>
  <c r="AC474" i="20"/>
  <c r="AB474" i="20"/>
  <c r="AA474" i="20"/>
  <c r="Z474" i="20"/>
  <c r="Y474" i="20"/>
  <c r="X474" i="20"/>
  <c r="W474" i="20"/>
  <c r="V474" i="20"/>
  <c r="U474" i="20"/>
  <c r="T474" i="20"/>
  <c r="S474" i="20"/>
  <c r="R474" i="20"/>
  <c r="Q474" i="20"/>
  <c r="P474" i="20"/>
  <c r="O474" i="20"/>
  <c r="N473" i="20"/>
  <c r="N472" i="20"/>
  <c r="N471" i="20"/>
  <c r="N470" i="20"/>
  <c r="N469" i="20"/>
  <c r="BZ468" i="20"/>
  <c r="BO468" i="20"/>
  <c r="BN468" i="20"/>
  <c r="BM468" i="20"/>
  <c r="BL468" i="20"/>
  <c r="BK468" i="20"/>
  <c r="BJ468" i="20"/>
  <c r="BI468" i="20"/>
  <c r="BH468" i="20"/>
  <c r="BG468" i="20"/>
  <c r="BF468" i="20"/>
  <c r="BE468" i="20"/>
  <c r="BD468" i="20"/>
  <c r="BC468" i="20"/>
  <c r="BB468" i="20"/>
  <c r="BA468" i="20"/>
  <c r="AZ468" i="20"/>
  <c r="AY468" i="20"/>
  <c r="AX468" i="20"/>
  <c r="AW468" i="20"/>
  <c r="AV468" i="20"/>
  <c r="AU468" i="20"/>
  <c r="AT468" i="20"/>
  <c r="AS468" i="20"/>
  <c r="AR468" i="20"/>
  <c r="AQ468" i="20"/>
  <c r="AP468" i="20"/>
  <c r="AO468" i="20"/>
  <c r="AN468" i="20"/>
  <c r="AM468" i="20"/>
  <c r="AL468" i="20"/>
  <c r="AK468" i="20"/>
  <c r="AJ468" i="20"/>
  <c r="AI468" i="20"/>
  <c r="AH468" i="20"/>
  <c r="AG468" i="20"/>
  <c r="AF468" i="20"/>
  <c r="AE468" i="20"/>
  <c r="AD468" i="20"/>
  <c r="AC468" i="20"/>
  <c r="AB468" i="20"/>
  <c r="AA468" i="20"/>
  <c r="Z468" i="20"/>
  <c r="Y468" i="20"/>
  <c r="X468" i="20"/>
  <c r="W468" i="20"/>
  <c r="V468" i="20"/>
  <c r="U468" i="20"/>
  <c r="T468" i="20"/>
  <c r="S468" i="20"/>
  <c r="R468" i="20"/>
  <c r="Q468" i="20"/>
  <c r="P468" i="20"/>
  <c r="O468" i="20"/>
  <c r="N467" i="20"/>
  <c r="N466" i="20"/>
  <c r="N465" i="20"/>
  <c r="N464" i="20"/>
  <c r="N463" i="20"/>
  <c r="N462" i="20"/>
  <c r="BO461" i="20"/>
  <c r="BN461" i="20"/>
  <c r="BM461" i="20"/>
  <c r="BL461" i="20"/>
  <c r="BK461" i="20"/>
  <c r="BJ461" i="20"/>
  <c r="BI461" i="20"/>
  <c r="BH461" i="20"/>
  <c r="BG461" i="20"/>
  <c r="BF461" i="20"/>
  <c r="BE461" i="20"/>
  <c r="BD461" i="20"/>
  <c r="BC461" i="20"/>
  <c r="BB461" i="20"/>
  <c r="BA461" i="20"/>
  <c r="AZ461" i="20"/>
  <c r="AY461" i="20"/>
  <c r="AX461" i="20"/>
  <c r="AW461" i="20"/>
  <c r="AV461" i="20"/>
  <c r="AU461" i="20"/>
  <c r="AT461" i="20"/>
  <c r="AS461" i="20"/>
  <c r="AR461" i="20"/>
  <c r="AQ461" i="20"/>
  <c r="AP461" i="20"/>
  <c r="AO461" i="20"/>
  <c r="AN461" i="20"/>
  <c r="AM461" i="20"/>
  <c r="AL461" i="20"/>
  <c r="AK461" i="20"/>
  <c r="AJ461" i="20"/>
  <c r="AI461" i="20"/>
  <c r="AH461" i="20"/>
  <c r="AG461" i="20"/>
  <c r="AF461" i="20"/>
  <c r="AE461" i="20"/>
  <c r="AD461" i="20"/>
  <c r="AC461" i="20"/>
  <c r="AB461" i="20"/>
  <c r="AA461" i="20"/>
  <c r="Z461" i="20"/>
  <c r="Y461" i="20"/>
  <c r="X461" i="20"/>
  <c r="W461" i="20"/>
  <c r="V461" i="20"/>
  <c r="U461" i="20"/>
  <c r="T461" i="20"/>
  <c r="S461" i="20"/>
  <c r="R461" i="20"/>
  <c r="Q461" i="20"/>
  <c r="P461" i="20"/>
  <c r="O461" i="20"/>
  <c r="N460" i="20"/>
  <c r="N459" i="20"/>
  <c r="N458" i="20"/>
  <c r="N457" i="20"/>
  <c r="N461" i="20" s="1"/>
  <c r="BZ456" i="20"/>
  <c r="BZ461" i="20" s="1"/>
  <c r="BO456" i="20"/>
  <c r="BN456" i="20"/>
  <c r="BM456" i="20"/>
  <c r="BL456" i="20"/>
  <c r="BK456" i="20"/>
  <c r="BJ456" i="20"/>
  <c r="BI456" i="20"/>
  <c r="BH456" i="20"/>
  <c r="BG456" i="20"/>
  <c r="BF456" i="20"/>
  <c r="BE456" i="20"/>
  <c r="BD456" i="20"/>
  <c r="BC456" i="20"/>
  <c r="BB456" i="20"/>
  <c r="BA456" i="20"/>
  <c r="AZ456" i="20"/>
  <c r="AY456" i="20"/>
  <c r="AX456" i="20"/>
  <c r="AW456" i="20"/>
  <c r="AV456" i="20"/>
  <c r="AU456" i="20"/>
  <c r="AT456" i="20"/>
  <c r="AS456" i="20"/>
  <c r="AR456" i="20"/>
  <c r="AQ456" i="20"/>
  <c r="AP456" i="20"/>
  <c r="AO456" i="20"/>
  <c r="AN456" i="20"/>
  <c r="AM456" i="20"/>
  <c r="AL456" i="20"/>
  <c r="AK456" i="20"/>
  <c r="AJ456" i="20"/>
  <c r="AI456" i="20"/>
  <c r="AH456" i="20"/>
  <c r="AG456" i="20"/>
  <c r="AF456" i="20"/>
  <c r="AE456" i="20"/>
  <c r="AD456" i="20"/>
  <c r="AC456" i="20"/>
  <c r="AB456" i="20"/>
  <c r="AA456" i="20"/>
  <c r="Z456" i="20"/>
  <c r="Y456" i="20"/>
  <c r="X456" i="20"/>
  <c r="W456" i="20"/>
  <c r="V456" i="20"/>
  <c r="U456" i="20"/>
  <c r="T456" i="20"/>
  <c r="S456" i="20"/>
  <c r="R456" i="20"/>
  <c r="Q456" i="20"/>
  <c r="P456" i="20"/>
  <c r="O456" i="20"/>
  <c r="N455" i="20"/>
  <c r="N454" i="20"/>
  <c r="N453" i="20"/>
  <c r="N452" i="20"/>
  <c r="N451" i="20"/>
  <c r="N450" i="20"/>
  <c r="N449" i="20"/>
  <c r="N448" i="20"/>
  <c r="N447" i="20"/>
  <c r="N446" i="20"/>
  <c r="N445" i="20"/>
  <c r="BZ444" i="20"/>
  <c r="BO444" i="20"/>
  <c r="BN444" i="20"/>
  <c r="BM444" i="20"/>
  <c r="BL444" i="20"/>
  <c r="BK444" i="20"/>
  <c r="BJ444" i="20"/>
  <c r="BI444" i="20"/>
  <c r="BH444" i="20"/>
  <c r="BG444" i="20"/>
  <c r="BF444" i="20"/>
  <c r="BE444" i="20"/>
  <c r="BD444" i="20"/>
  <c r="BC444" i="20"/>
  <c r="BB444" i="20"/>
  <c r="BA444" i="20"/>
  <c r="AZ444" i="20"/>
  <c r="AY444" i="20"/>
  <c r="AX444" i="20"/>
  <c r="AW444" i="20"/>
  <c r="AV444" i="20"/>
  <c r="AU444" i="20"/>
  <c r="AT444" i="20"/>
  <c r="AS444" i="20"/>
  <c r="AR444" i="20"/>
  <c r="AQ444" i="20"/>
  <c r="AP444" i="20"/>
  <c r="AO444" i="20"/>
  <c r="AN444" i="20"/>
  <c r="AM444" i="20"/>
  <c r="AL444" i="20"/>
  <c r="AK444" i="20"/>
  <c r="AJ444" i="20"/>
  <c r="AI444" i="20"/>
  <c r="AH444" i="20"/>
  <c r="AG444" i="20"/>
  <c r="AF444" i="20"/>
  <c r="AE444" i="20"/>
  <c r="AD444" i="20"/>
  <c r="AC444" i="20"/>
  <c r="AB444" i="20"/>
  <c r="AA444" i="20"/>
  <c r="Z444" i="20"/>
  <c r="Y444" i="20"/>
  <c r="X444" i="20"/>
  <c r="W444" i="20"/>
  <c r="V444" i="20"/>
  <c r="U444" i="20"/>
  <c r="T444" i="20"/>
  <c r="S444" i="20"/>
  <c r="R444" i="20"/>
  <c r="Q444" i="20"/>
  <c r="P444" i="20"/>
  <c r="O444" i="20"/>
  <c r="N443" i="20"/>
  <c r="N442" i="20"/>
  <c r="N441" i="20"/>
  <c r="N440" i="20"/>
  <c r="N439" i="20"/>
  <c r="N438" i="20"/>
  <c r="N437" i="20"/>
  <c r="N436" i="20"/>
  <c r="N435" i="20"/>
  <c r="N434" i="20"/>
  <c r="BZ433" i="20"/>
  <c r="BO433" i="20"/>
  <c r="BN433" i="20"/>
  <c r="BM433" i="20"/>
  <c r="BL433" i="20"/>
  <c r="BK433" i="20"/>
  <c r="BJ433" i="20"/>
  <c r="BI433" i="20"/>
  <c r="BH433" i="20"/>
  <c r="BG433" i="20"/>
  <c r="BF433" i="20"/>
  <c r="BE433" i="20"/>
  <c r="BD433" i="20"/>
  <c r="BC433" i="20"/>
  <c r="BB433" i="20"/>
  <c r="BA433" i="20"/>
  <c r="AZ433" i="20"/>
  <c r="AY433" i="20"/>
  <c r="AX433" i="20"/>
  <c r="AW433" i="20"/>
  <c r="AV433" i="20"/>
  <c r="AU433" i="20"/>
  <c r="AT433" i="20"/>
  <c r="AS433" i="20"/>
  <c r="AR433" i="20"/>
  <c r="AQ433" i="20"/>
  <c r="AP433" i="20"/>
  <c r="AO433" i="20"/>
  <c r="AN433" i="20"/>
  <c r="AM433" i="20"/>
  <c r="AL433" i="20"/>
  <c r="AK433" i="20"/>
  <c r="AJ433" i="20"/>
  <c r="AI433" i="20"/>
  <c r="AH433" i="20"/>
  <c r="AG433" i="20"/>
  <c r="AF433" i="20"/>
  <c r="AE433" i="20"/>
  <c r="AD433" i="20"/>
  <c r="AC433" i="20"/>
  <c r="AB433" i="20"/>
  <c r="AA433" i="20"/>
  <c r="Z433" i="20"/>
  <c r="Y433" i="20"/>
  <c r="X433" i="20"/>
  <c r="W433" i="20"/>
  <c r="V433" i="20"/>
  <c r="U433" i="20"/>
  <c r="T433" i="20"/>
  <c r="S433" i="20"/>
  <c r="R433" i="20"/>
  <c r="Q433" i="20"/>
  <c r="P433" i="20"/>
  <c r="O433" i="20"/>
  <c r="N432" i="20"/>
  <c r="N431" i="20"/>
  <c r="N433" i="20" s="1"/>
  <c r="N430" i="20"/>
  <c r="BZ429" i="20"/>
  <c r="BO429" i="20"/>
  <c r="BN429" i="20"/>
  <c r="BM429" i="20"/>
  <c r="BL429" i="20"/>
  <c r="BK429" i="20"/>
  <c r="BJ429" i="20"/>
  <c r="BI429" i="20"/>
  <c r="BH429" i="20"/>
  <c r="BG429" i="20"/>
  <c r="BF429" i="20"/>
  <c r="BE429" i="20"/>
  <c r="BD429" i="20"/>
  <c r="BC429" i="20"/>
  <c r="BB429" i="20"/>
  <c r="BA429" i="20"/>
  <c r="AZ429" i="20"/>
  <c r="AY429" i="20"/>
  <c r="AX429" i="20"/>
  <c r="AW429" i="20"/>
  <c r="AV429" i="20"/>
  <c r="AU429" i="20"/>
  <c r="AT429" i="20"/>
  <c r="AS429" i="20"/>
  <c r="AR429" i="20"/>
  <c r="AQ429" i="20"/>
  <c r="AP429" i="20"/>
  <c r="AO429" i="20"/>
  <c r="AN429" i="20"/>
  <c r="AM429" i="20"/>
  <c r="AL429" i="20"/>
  <c r="AK429" i="20"/>
  <c r="AJ429" i="20"/>
  <c r="AI429" i="20"/>
  <c r="AH429" i="20"/>
  <c r="AG429" i="20"/>
  <c r="AF429" i="20"/>
  <c r="AE429" i="20"/>
  <c r="AD429" i="20"/>
  <c r="AC429" i="20"/>
  <c r="AB429" i="20"/>
  <c r="AA429" i="20"/>
  <c r="Z429" i="20"/>
  <c r="Y429" i="20"/>
  <c r="X429" i="20"/>
  <c r="W429" i="20"/>
  <c r="V429" i="20"/>
  <c r="U429" i="20"/>
  <c r="T429" i="20"/>
  <c r="S429" i="20"/>
  <c r="R429" i="20"/>
  <c r="Q429" i="20"/>
  <c r="P429" i="20"/>
  <c r="O429" i="20"/>
  <c r="N429" i="20"/>
  <c r="N428" i="20"/>
  <c r="BZ427" i="20"/>
  <c r="BO427" i="20"/>
  <c r="BN427" i="20"/>
  <c r="BM427" i="20"/>
  <c r="BL427" i="20"/>
  <c r="BK427" i="20"/>
  <c r="BJ427" i="20"/>
  <c r="BI427" i="20"/>
  <c r="BH427" i="20"/>
  <c r="BG427" i="20"/>
  <c r="BF427" i="20"/>
  <c r="BE427" i="20"/>
  <c r="BD427" i="20"/>
  <c r="BC427" i="20"/>
  <c r="BB427" i="20"/>
  <c r="BA427" i="20"/>
  <c r="AZ427" i="20"/>
  <c r="AY427" i="20"/>
  <c r="AX427" i="20"/>
  <c r="AW427" i="20"/>
  <c r="AV427" i="20"/>
  <c r="AU427" i="20"/>
  <c r="AT427" i="20"/>
  <c r="AS427" i="20"/>
  <c r="AR427" i="20"/>
  <c r="AQ427" i="20"/>
  <c r="AP427" i="20"/>
  <c r="AO427" i="20"/>
  <c r="AN427" i="20"/>
  <c r="AM427" i="20"/>
  <c r="AL427" i="20"/>
  <c r="AK427" i="20"/>
  <c r="AJ427" i="20"/>
  <c r="AI427" i="20"/>
  <c r="AH427" i="20"/>
  <c r="AG427" i="20"/>
  <c r="AF427" i="20"/>
  <c r="AE427" i="20"/>
  <c r="AD427" i="20"/>
  <c r="AC427" i="20"/>
  <c r="AB427" i="20"/>
  <c r="AA427" i="20"/>
  <c r="Z427" i="20"/>
  <c r="Y427" i="20"/>
  <c r="X427" i="20"/>
  <c r="W427" i="20"/>
  <c r="V427" i="20"/>
  <c r="U427" i="20"/>
  <c r="T427" i="20"/>
  <c r="S427" i="20"/>
  <c r="R427" i="20"/>
  <c r="Q427" i="20"/>
  <c r="P427" i="20"/>
  <c r="O427" i="20"/>
  <c r="N427" i="20"/>
  <c r="N426" i="20"/>
  <c r="BZ425" i="20"/>
  <c r="BO425" i="20"/>
  <c r="BN425" i="20"/>
  <c r="BM425" i="20"/>
  <c r="BL425" i="20"/>
  <c r="BK425" i="20"/>
  <c r="BJ425" i="20"/>
  <c r="BI425" i="20"/>
  <c r="BH425" i="20"/>
  <c r="BG425" i="20"/>
  <c r="BF425" i="20"/>
  <c r="BE425" i="20"/>
  <c r="BD425" i="20"/>
  <c r="BC425" i="20"/>
  <c r="BB425" i="20"/>
  <c r="BA425" i="20"/>
  <c r="AZ425" i="20"/>
  <c r="AY425" i="20"/>
  <c r="AX425" i="20"/>
  <c r="AW425" i="20"/>
  <c r="AV425" i="20"/>
  <c r="AU425" i="20"/>
  <c r="AT425" i="20"/>
  <c r="AS425" i="20"/>
  <c r="AR425" i="20"/>
  <c r="AQ425" i="20"/>
  <c r="AP425" i="20"/>
  <c r="AO425" i="20"/>
  <c r="AN425" i="20"/>
  <c r="AM425" i="20"/>
  <c r="AL425" i="20"/>
  <c r="AK425" i="20"/>
  <c r="AJ425" i="20"/>
  <c r="AI425" i="20"/>
  <c r="AH425" i="20"/>
  <c r="AG425" i="20"/>
  <c r="AF425" i="20"/>
  <c r="AE425" i="20"/>
  <c r="AD425" i="20"/>
  <c r="AC425" i="20"/>
  <c r="AB425" i="20"/>
  <c r="AA425" i="20"/>
  <c r="Z425" i="20"/>
  <c r="Y425" i="20"/>
  <c r="X425" i="20"/>
  <c r="W425" i="20"/>
  <c r="V425" i="20"/>
  <c r="U425" i="20"/>
  <c r="T425" i="20"/>
  <c r="S425" i="20"/>
  <c r="R425" i="20"/>
  <c r="Q425" i="20"/>
  <c r="P425" i="20"/>
  <c r="O425" i="20"/>
  <c r="N424" i="20"/>
  <c r="N422" i="20"/>
  <c r="N421" i="20"/>
  <c r="N420" i="20"/>
  <c r="N419" i="20"/>
  <c r="N418" i="20"/>
  <c r="BZ417" i="20"/>
  <c r="BO417" i="20"/>
  <c r="BN417" i="20"/>
  <c r="BM417" i="20"/>
  <c r="BL417" i="20"/>
  <c r="BK417" i="20"/>
  <c r="BJ417" i="20"/>
  <c r="BI417" i="20"/>
  <c r="BH417" i="20"/>
  <c r="BG417" i="20"/>
  <c r="BF417" i="20"/>
  <c r="BE417" i="20"/>
  <c r="BD417" i="20"/>
  <c r="BC417" i="20"/>
  <c r="BB417" i="20"/>
  <c r="BA417" i="20"/>
  <c r="AZ417" i="20"/>
  <c r="AY417" i="20"/>
  <c r="AX417" i="20"/>
  <c r="AW417" i="20"/>
  <c r="AV417" i="20"/>
  <c r="AU417" i="20"/>
  <c r="AT417" i="20"/>
  <c r="AS417" i="20"/>
  <c r="AR417" i="20"/>
  <c r="AQ417" i="20"/>
  <c r="AP417" i="20"/>
  <c r="AO417" i="20"/>
  <c r="AN417" i="20"/>
  <c r="AM417" i="20"/>
  <c r="AL417" i="20"/>
  <c r="AK417" i="20"/>
  <c r="AJ417" i="20"/>
  <c r="AI417" i="20"/>
  <c r="AH417" i="20"/>
  <c r="AG417" i="20"/>
  <c r="AF417" i="20"/>
  <c r="AE417" i="20"/>
  <c r="AD417" i="20"/>
  <c r="AC417" i="20"/>
  <c r="AB417" i="20"/>
  <c r="AA417" i="20"/>
  <c r="Z417" i="20"/>
  <c r="Y417" i="20"/>
  <c r="X417" i="20"/>
  <c r="W417" i="20"/>
  <c r="V417" i="20"/>
  <c r="U417" i="20"/>
  <c r="T417" i="20"/>
  <c r="S417" i="20"/>
  <c r="R417" i="20"/>
  <c r="Q417" i="20"/>
  <c r="P417" i="20"/>
  <c r="O417" i="20"/>
  <c r="N416" i="20"/>
  <c r="N415" i="20"/>
  <c r="N414" i="20"/>
  <c r="N413" i="20"/>
  <c r="N417" i="20" s="1"/>
  <c r="BZ412" i="20"/>
  <c r="BO412" i="20"/>
  <c r="BN412" i="20"/>
  <c r="BM412" i="20"/>
  <c r="BL412" i="20"/>
  <c r="BK412" i="20"/>
  <c r="BJ412" i="20"/>
  <c r="BI412" i="20"/>
  <c r="BH412" i="20"/>
  <c r="BG412" i="20"/>
  <c r="BF412" i="20"/>
  <c r="BE412" i="20"/>
  <c r="BD412" i="20"/>
  <c r="BC412" i="20"/>
  <c r="BB412" i="20"/>
  <c r="BA412" i="20"/>
  <c r="AZ412" i="20"/>
  <c r="AY412" i="20"/>
  <c r="AX412" i="20"/>
  <c r="AW412" i="20"/>
  <c r="AV412" i="20"/>
  <c r="AU412" i="20"/>
  <c r="AT412" i="20"/>
  <c r="AS412" i="20"/>
  <c r="AR412" i="20"/>
  <c r="AQ412" i="20"/>
  <c r="AP412" i="20"/>
  <c r="AO412" i="20"/>
  <c r="AN412" i="20"/>
  <c r="AM412" i="20"/>
  <c r="AL412" i="20"/>
  <c r="AK412" i="20"/>
  <c r="AJ412" i="20"/>
  <c r="AI412" i="20"/>
  <c r="AH412" i="20"/>
  <c r="AG412" i="20"/>
  <c r="AF412" i="20"/>
  <c r="AE412" i="20"/>
  <c r="AD412" i="20"/>
  <c r="AC412" i="20"/>
  <c r="AB412" i="20"/>
  <c r="AA412" i="20"/>
  <c r="Z412" i="20"/>
  <c r="Y412" i="20"/>
  <c r="X412" i="20"/>
  <c r="W412" i="20"/>
  <c r="V412" i="20"/>
  <c r="U412" i="20"/>
  <c r="T412" i="20"/>
  <c r="S412" i="20"/>
  <c r="R412" i="20"/>
  <c r="Q412" i="20"/>
  <c r="P412" i="20"/>
  <c r="O412" i="20"/>
  <c r="N411" i="20"/>
  <c r="N410" i="20"/>
  <c r="N409" i="20"/>
  <c r="N408" i="20"/>
  <c r="N407" i="20"/>
  <c r="N406" i="20"/>
  <c r="N405" i="20"/>
  <c r="N404" i="20"/>
  <c r="N403" i="20"/>
  <c r="BO402" i="20"/>
  <c r="BN402" i="20"/>
  <c r="BM402" i="20"/>
  <c r="BL402" i="20"/>
  <c r="BK402" i="20"/>
  <c r="BJ402" i="20"/>
  <c r="BI402" i="20"/>
  <c r="BH402" i="20"/>
  <c r="BG402" i="20"/>
  <c r="BF402" i="20"/>
  <c r="BE402" i="20"/>
  <c r="BD402" i="20"/>
  <c r="BC402" i="20"/>
  <c r="BB402" i="20"/>
  <c r="BA402" i="20"/>
  <c r="AZ402" i="20"/>
  <c r="AY402" i="20"/>
  <c r="AX402" i="20"/>
  <c r="AW402" i="20"/>
  <c r="AV402" i="20"/>
  <c r="AU402" i="20"/>
  <c r="AT402" i="20"/>
  <c r="AS402" i="20"/>
  <c r="AR402" i="20"/>
  <c r="AQ402" i="20"/>
  <c r="AP402" i="20"/>
  <c r="AO402" i="20"/>
  <c r="AN402" i="20"/>
  <c r="AM402" i="20"/>
  <c r="AL402" i="20"/>
  <c r="AK402" i="20"/>
  <c r="AJ402" i="20"/>
  <c r="AI402" i="20"/>
  <c r="AH402" i="20"/>
  <c r="AG402" i="20"/>
  <c r="AF402" i="20"/>
  <c r="AE402" i="20"/>
  <c r="AD402" i="20"/>
  <c r="AC402" i="20"/>
  <c r="AB402" i="20"/>
  <c r="AA402" i="20"/>
  <c r="Z402" i="20"/>
  <c r="Y402" i="20"/>
  <c r="X402" i="20"/>
  <c r="W402" i="20"/>
  <c r="V402" i="20"/>
  <c r="U402" i="20"/>
  <c r="T402" i="20"/>
  <c r="S402" i="20"/>
  <c r="R402" i="20"/>
  <c r="Q402" i="20"/>
  <c r="P402" i="20"/>
  <c r="O402" i="20"/>
  <c r="N401" i="20"/>
  <c r="N400" i="20"/>
  <c r="N402" i="20" s="1"/>
  <c r="BZ399" i="20"/>
  <c r="BZ402" i="20" s="1"/>
  <c r="BO399" i="20"/>
  <c r="BN399" i="20"/>
  <c r="BM399" i="20"/>
  <c r="BL399" i="20"/>
  <c r="BK399" i="20"/>
  <c r="BJ399" i="20"/>
  <c r="BI399" i="20"/>
  <c r="BH399" i="20"/>
  <c r="BG399" i="20"/>
  <c r="BF399" i="20"/>
  <c r="BE399" i="20"/>
  <c r="BD399" i="20"/>
  <c r="BC399" i="20"/>
  <c r="BB399" i="20"/>
  <c r="BA399" i="20"/>
  <c r="AZ399" i="20"/>
  <c r="AY399" i="20"/>
  <c r="AX399" i="20"/>
  <c r="AW399" i="20"/>
  <c r="AV399" i="20"/>
  <c r="AU399" i="20"/>
  <c r="AT399" i="20"/>
  <c r="AS399" i="20"/>
  <c r="AR399" i="20"/>
  <c r="AQ399" i="20"/>
  <c r="AP399" i="20"/>
  <c r="AO399" i="20"/>
  <c r="AN399" i="20"/>
  <c r="AM399" i="20"/>
  <c r="AL399" i="20"/>
  <c r="AK399" i="20"/>
  <c r="AJ399" i="20"/>
  <c r="AI399" i="20"/>
  <c r="AH399" i="20"/>
  <c r="AG399" i="20"/>
  <c r="AF399" i="20"/>
  <c r="AE399" i="20"/>
  <c r="AD399" i="20"/>
  <c r="AC399" i="20"/>
  <c r="AB399" i="20"/>
  <c r="AA399" i="20"/>
  <c r="Z399" i="20"/>
  <c r="Y399" i="20"/>
  <c r="X399" i="20"/>
  <c r="W399" i="20"/>
  <c r="V399" i="20"/>
  <c r="U399" i="20"/>
  <c r="T399" i="20"/>
  <c r="S399" i="20"/>
  <c r="R399" i="20"/>
  <c r="Q399" i="20"/>
  <c r="P399" i="20"/>
  <c r="O399" i="20"/>
  <c r="N398" i="20"/>
  <c r="N397" i="20"/>
  <c r="N396" i="20"/>
  <c r="N399" i="20" s="1"/>
  <c r="BZ395" i="20"/>
  <c r="BO395" i="20"/>
  <c r="BN395" i="20"/>
  <c r="BM395" i="20"/>
  <c r="BL395" i="20"/>
  <c r="BK395" i="20"/>
  <c r="BJ395" i="20"/>
  <c r="BI395" i="20"/>
  <c r="BH395" i="20"/>
  <c r="BG395" i="20"/>
  <c r="BF395" i="20"/>
  <c r="BE395" i="20"/>
  <c r="BD395" i="20"/>
  <c r="BC395" i="20"/>
  <c r="BB395" i="20"/>
  <c r="BA395" i="20"/>
  <c r="AZ395" i="20"/>
  <c r="AY395" i="20"/>
  <c r="AX395" i="20"/>
  <c r="AW395" i="20"/>
  <c r="AV395" i="20"/>
  <c r="AU395" i="20"/>
  <c r="AT395" i="20"/>
  <c r="AS395" i="20"/>
  <c r="AR395" i="20"/>
  <c r="AQ395" i="20"/>
  <c r="AP395" i="20"/>
  <c r="AO395" i="20"/>
  <c r="AN395" i="20"/>
  <c r="AM395" i="20"/>
  <c r="AL395" i="20"/>
  <c r="AK395" i="20"/>
  <c r="AJ395" i="20"/>
  <c r="AI395" i="20"/>
  <c r="AH395" i="20"/>
  <c r="AG395" i="20"/>
  <c r="AF395" i="20"/>
  <c r="AE395" i="20"/>
  <c r="AD395" i="20"/>
  <c r="AC395" i="20"/>
  <c r="AB395" i="20"/>
  <c r="AA395" i="20"/>
  <c r="Z395" i="20"/>
  <c r="Y395" i="20"/>
  <c r="X395" i="20"/>
  <c r="W395" i="20"/>
  <c r="V395" i="20"/>
  <c r="U395" i="20"/>
  <c r="T395" i="20"/>
  <c r="S395" i="20"/>
  <c r="R395" i="20"/>
  <c r="Q395" i="20"/>
  <c r="P395" i="20"/>
  <c r="O395" i="20"/>
  <c r="N394" i="20"/>
  <c r="N393" i="20"/>
  <c r="N392" i="20"/>
  <c r="N391" i="20"/>
  <c r="N390" i="20"/>
  <c r="N389" i="20"/>
  <c r="N388" i="20"/>
  <c r="N387" i="20"/>
  <c r="N395" i="20" s="1"/>
  <c r="BZ386" i="20"/>
  <c r="BO386" i="20"/>
  <c r="BN386" i="20"/>
  <c r="BM386" i="20"/>
  <c r="BL386" i="20"/>
  <c r="BK386" i="20"/>
  <c r="BJ386" i="20"/>
  <c r="BI386" i="20"/>
  <c r="BH386" i="20"/>
  <c r="BG386" i="20"/>
  <c r="BF386" i="20"/>
  <c r="BE386" i="20"/>
  <c r="BD386" i="20"/>
  <c r="BC386" i="20"/>
  <c r="BB386" i="20"/>
  <c r="BA386" i="20"/>
  <c r="AZ386" i="20"/>
  <c r="AY386" i="20"/>
  <c r="AX386" i="20"/>
  <c r="AW386" i="20"/>
  <c r="AV386" i="20"/>
  <c r="AU386" i="20"/>
  <c r="AT386" i="20"/>
  <c r="AS386" i="20"/>
  <c r="AR386" i="20"/>
  <c r="AQ386" i="20"/>
  <c r="AP386" i="20"/>
  <c r="AO386" i="20"/>
  <c r="AN386" i="20"/>
  <c r="AM386" i="20"/>
  <c r="AL386" i="20"/>
  <c r="AK386" i="20"/>
  <c r="AJ386" i="20"/>
  <c r="AI386" i="20"/>
  <c r="AH386" i="20"/>
  <c r="AG386" i="20"/>
  <c r="AF386" i="20"/>
  <c r="AE386" i="20"/>
  <c r="AD386" i="20"/>
  <c r="AC386" i="20"/>
  <c r="AB386" i="20"/>
  <c r="AA386" i="20"/>
  <c r="Z386" i="20"/>
  <c r="Y386" i="20"/>
  <c r="X386" i="20"/>
  <c r="W386" i="20"/>
  <c r="V386" i="20"/>
  <c r="U386" i="20"/>
  <c r="T386" i="20"/>
  <c r="S386" i="20"/>
  <c r="R386" i="20"/>
  <c r="Q386" i="20"/>
  <c r="P386" i="20"/>
  <c r="O386" i="20"/>
  <c r="N385" i="20"/>
  <c r="N384" i="20"/>
  <c r="N383" i="20"/>
  <c r="N382" i="20"/>
  <c r="N381" i="20"/>
  <c r="N380" i="20"/>
  <c r="N379" i="20"/>
  <c r="N378" i="20"/>
  <c r="N377" i="20"/>
  <c r="BZ376" i="20"/>
  <c r="BO376" i="20"/>
  <c r="BN376" i="20"/>
  <c r="BM376" i="20"/>
  <c r="BL376" i="20"/>
  <c r="BK376" i="20"/>
  <c r="BJ376" i="20"/>
  <c r="BI376" i="20"/>
  <c r="BH376" i="20"/>
  <c r="BG376" i="20"/>
  <c r="BF376" i="20"/>
  <c r="BE376" i="20"/>
  <c r="BD376" i="20"/>
  <c r="BC376" i="20"/>
  <c r="BB376" i="20"/>
  <c r="BA376" i="20"/>
  <c r="AZ376" i="20"/>
  <c r="AY376" i="20"/>
  <c r="AX376" i="20"/>
  <c r="AW376" i="20"/>
  <c r="AV376" i="20"/>
  <c r="AU376" i="20"/>
  <c r="AT376" i="20"/>
  <c r="AS376" i="20"/>
  <c r="AR376" i="20"/>
  <c r="AQ376" i="20"/>
  <c r="AP376" i="20"/>
  <c r="AO376" i="20"/>
  <c r="AN376" i="20"/>
  <c r="AM376" i="20"/>
  <c r="AL376" i="20"/>
  <c r="AK376" i="20"/>
  <c r="AJ376" i="20"/>
  <c r="AI376" i="20"/>
  <c r="AH376" i="20"/>
  <c r="AG376" i="20"/>
  <c r="AF376" i="20"/>
  <c r="AE376" i="20"/>
  <c r="AD376" i="20"/>
  <c r="AC376" i="20"/>
  <c r="AB376" i="20"/>
  <c r="AA376" i="20"/>
  <c r="Z376" i="20"/>
  <c r="Y376" i="20"/>
  <c r="X376" i="20"/>
  <c r="W376" i="20"/>
  <c r="V376" i="20"/>
  <c r="U376" i="20"/>
  <c r="T376" i="20"/>
  <c r="S376" i="20"/>
  <c r="R376" i="20"/>
  <c r="Q376" i="20"/>
  <c r="P376" i="20"/>
  <c r="O376" i="20"/>
  <c r="N375" i="20"/>
  <c r="N374" i="20"/>
  <c r="N373" i="20"/>
  <c r="N372" i="20"/>
  <c r="N371" i="20"/>
  <c r="N370" i="20"/>
  <c r="N369" i="20"/>
  <c r="N368" i="20"/>
  <c r="N367" i="20"/>
  <c r="N366" i="20"/>
  <c r="N365" i="20"/>
  <c r="N364" i="20"/>
  <c r="N363" i="20"/>
  <c r="BZ362" i="20"/>
  <c r="BO362" i="20"/>
  <c r="BN362" i="20"/>
  <c r="BM362" i="20"/>
  <c r="BL362" i="20"/>
  <c r="BK362" i="20"/>
  <c r="BJ362" i="20"/>
  <c r="BI362" i="20"/>
  <c r="BH362" i="20"/>
  <c r="BG362" i="20"/>
  <c r="BF362" i="20"/>
  <c r="BE362" i="20"/>
  <c r="BD362" i="20"/>
  <c r="BC362" i="20"/>
  <c r="BB362" i="20"/>
  <c r="BA362" i="20"/>
  <c r="AZ362" i="20"/>
  <c r="AY362" i="20"/>
  <c r="AX362" i="20"/>
  <c r="AW362" i="20"/>
  <c r="AV362" i="20"/>
  <c r="AU362" i="20"/>
  <c r="AT362" i="20"/>
  <c r="AS362" i="20"/>
  <c r="AR362" i="20"/>
  <c r="AQ362" i="20"/>
  <c r="AP362" i="20"/>
  <c r="AO362" i="20"/>
  <c r="AN362" i="20"/>
  <c r="AM362" i="20"/>
  <c r="AL362" i="20"/>
  <c r="AK362" i="20"/>
  <c r="AJ362" i="20"/>
  <c r="AI362" i="20"/>
  <c r="AH362" i="20"/>
  <c r="AG362" i="20"/>
  <c r="AF362" i="20"/>
  <c r="AE362" i="20"/>
  <c r="AD362" i="20"/>
  <c r="AC362" i="20"/>
  <c r="AB362" i="20"/>
  <c r="AA362" i="20"/>
  <c r="Z362" i="20"/>
  <c r="Y362" i="20"/>
  <c r="X362" i="20"/>
  <c r="W362" i="20"/>
  <c r="V362" i="20"/>
  <c r="U362" i="20"/>
  <c r="T362" i="20"/>
  <c r="S362" i="20"/>
  <c r="R362" i="20"/>
  <c r="Q362" i="20"/>
  <c r="P362" i="20"/>
  <c r="O362" i="20"/>
  <c r="N361" i="20"/>
  <c r="N360" i="20"/>
  <c r="N359" i="20"/>
  <c r="N358" i="20"/>
  <c r="BZ357" i="20"/>
  <c r="BO357" i="20"/>
  <c r="BN357" i="20"/>
  <c r="BM357" i="20"/>
  <c r="BL357" i="20"/>
  <c r="BK357" i="20"/>
  <c r="BJ357" i="20"/>
  <c r="BI357" i="20"/>
  <c r="BH357" i="20"/>
  <c r="BG357" i="20"/>
  <c r="BF357" i="20"/>
  <c r="BE357" i="20"/>
  <c r="BD357" i="20"/>
  <c r="BC357" i="20"/>
  <c r="BB357" i="20"/>
  <c r="BA357" i="20"/>
  <c r="AZ357" i="20"/>
  <c r="AY357" i="20"/>
  <c r="AX357" i="20"/>
  <c r="AW357" i="20"/>
  <c r="AV357" i="20"/>
  <c r="AU357" i="20"/>
  <c r="AT357" i="20"/>
  <c r="AS357" i="20"/>
  <c r="AR357" i="20"/>
  <c r="AQ357" i="20"/>
  <c r="AP357" i="20"/>
  <c r="AO357" i="20"/>
  <c r="AN357" i="20"/>
  <c r="AM357" i="20"/>
  <c r="AL357" i="20"/>
  <c r="AK357" i="20"/>
  <c r="AJ357" i="20"/>
  <c r="AI357" i="20"/>
  <c r="AH357" i="20"/>
  <c r="AG357" i="20"/>
  <c r="AF357" i="20"/>
  <c r="AE357" i="20"/>
  <c r="AD357" i="20"/>
  <c r="AC357" i="20"/>
  <c r="AB357" i="20"/>
  <c r="AA357" i="20"/>
  <c r="Z357" i="20"/>
  <c r="Y357" i="20"/>
  <c r="X357" i="20"/>
  <c r="W357" i="20"/>
  <c r="V357" i="20"/>
  <c r="U357" i="20"/>
  <c r="T357" i="20"/>
  <c r="S357" i="20"/>
  <c r="R357" i="20"/>
  <c r="Q357" i="20"/>
  <c r="P357" i="20"/>
  <c r="O357" i="20"/>
  <c r="N356" i="20"/>
  <c r="N357" i="20" s="1"/>
  <c r="BZ355" i="20"/>
  <c r="BO355" i="20"/>
  <c r="BN355" i="20"/>
  <c r="BM355" i="20"/>
  <c r="BL355" i="20"/>
  <c r="BK355" i="20"/>
  <c r="BJ355" i="20"/>
  <c r="BI355" i="20"/>
  <c r="BH355" i="20"/>
  <c r="BG355" i="20"/>
  <c r="BF355" i="20"/>
  <c r="BE355" i="20"/>
  <c r="BD355" i="20"/>
  <c r="BC355" i="20"/>
  <c r="BB355" i="20"/>
  <c r="BA355" i="20"/>
  <c r="AZ355" i="20"/>
  <c r="AY355" i="20"/>
  <c r="AX355" i="20"/>
  <c r="AW355" i="20"/>
  <c r="AV355" i="20"/>
  <c r="AU355" i="20"/>
  <c r="AT355" i="20"/>
  <c r="AS355" i="20"/>
  <c r="AR355" i="20"/>
  <c r="AQ355" i="20"/>
  <c r="AP355" i="20"/>
  <c r="AO355" i="20"/>
  <c r="AN355" i="20"/>
  <c r="AM355" i="20"/>
  <c r="AL355" i="20"/>
  <c r="AK355" i="20"/>
  <c r="AJ355" i="20"/>
  <c r="AI355" i="20"/>
  <c r="AH355" i="20"/>
  <c r="AG355" i="20"/>
  <c r="AF355" i="20"/>
  <c r="AE355" i="20"/>
  <c r="AD355" i="20"/>
  <c r="AC355" i="20"/>
  <c r="AB355" i="20"/>
  <c r="AA355" i="20"/>
  <c r="Z355" i="20"/>
  <c r="Y355" i="20"/>
  <c r="X355" i="20"/>
  <c r="W355" i="20"/>
  <c r="V355" i="20"/>
  <c r="U355" i="20"/>
  <c r="T355" i="20"/>
  <c r="S355" i="20"/>
  <c r="R355" i="20"/>
  <c r="Q355" i="20"/>
  <c r="P355" i="20"/>
  <c r="O355" i="20"/>
  <c r="N354" i="20"/>
  <c r="N353" i="20"/>
  <c r="N352" i="20"/>
  <c r="N351" i="20"/>
  <c r="N350" i="20"/>
  <c r="N349" i="20"/>
  <c r="N348" i="20"/>
  <c r="N347" i="20"/>
  <c r="N346" i="20"/>
  <c r="BZ345" i="20"/>
  <c r="BO345" i="20"/>
  <c r="BN345" i="20"/>
  <c r="BM345" i="20"/>
  <c r="BL345" i="20"/>
  <c r="BK345" i="20"/>
  <c r="BJ345" i="20"/>
  <c r="BI345" i="20"/>
  <c r="BH345" i="20"/>
  <c r="BG345" i="20"/>
  <c r="BF345" i="20"/>
  <c r="BE345" i="20"/>
  <c r="BD345" i="20"/>
  <c r="BC345" i="20"/>
  <c r="BB345" i="20"/>
  <c r="BA345" i="20"/>
  <c r="AZ345" i="20"/>
  <c r="AY345" i="20"/>
  <c r="AX345" i="20"/>
  <c r="AW345" i="20"/>
  <c r="AV345" i="20"/>
  <c r="AU345" i="20"/>
  <c r="AT345" i="20"/>
  <c r="AS345" i="20"/>
  <c r="AR345" i="20"/>
  <c r="AQ345" i="20"/>
  <c r="AP345" i="20"/>
  <c r="AO345" i="20"/>
  <c r="AN345" i="20"/>
  <c r="AM345" i="20"/>
  <c r="AL345" i="20"/>
  <c r="AK345" i="20"/>
  <c r="AJ345" i="20"/>
  <c r="AI345" i="20"/>
  <c r="AH345" i="20"/>
  <c r="AG345" i="20"/>
  <c r="AF345" i="20"/>
  <c r="AE345" i="20"/>
  <c r="AD345" i="20"/>
  <c r="AC345" i="20"/>
  <c r="AB345" i="20"/>
  <c r="AA345" i="20"/>
  <c r="Z345" i="20"/>
  <c r="Y345" i="20"/>
  <c r="X345" i="20"/>
  <c r="W345" i="20"/>
  <c r="V345" i="20"/>
  <c r="U345" i="20"/>
  <c r="T345" i="20"/>
  <c r="S345" i="20"/>
  <c r="R345" i="20"/>
  <c r="Q345" i="20"/>
  <c r="P345" i="20"/>
  <c r="O345" i="20"/>
  <c r="N344" i="20"/>
  <c r="N343" i="20"/>
  <c r="N342" i="20"/>
  <c r="N341" i="20"/>
  <c r="N340" i="20"/>
  <c r="N339" i="20"/>
  <c r="N338" i="20"/>
  <c r="N345" i="20" s="1"/>
  <c r="BZ337" i="20"/>
  <c r="BO337" i="20"/>
  <c r="BN337" i="20"/>
  <c r="BM337" i="20"/>
  <c r="BL337" i="20"/>
  <c r="BK337" i="20"/>
  <c r="BJ337" i="20"/>
  <c r="BI337" i="20"/>
  <c r="BH337" i="20"/>
  <c r="BG337" i="20"/>
  <c r="BF337" i="20"/>
  <c r="BE337" i="20"/>
  <c r="BD337" i="20"/>
  <c r="BC337" i="20"/>
  <c r="BB337" i="20"/>
  <c r="BA337" i="20"/>
  <c r="AZ337" i="20"/>
  <c r="AY337" i="20"/>
  <c r="AX337" i="20"/>
  <c r="AW337" i="20"/>
  <c r="AV337" i="20"/>
  <c r="AU337" i="20"/>
  <c r="AT337" i="20"/>
  <c r="AS337" i="20"/>
  <c r="AR337" i="20"/>
  <c r="AQ337" i="20"/>
  <c r="AP337" i="20"/>
  <c r="AO337" i="20"/>
  <c r="AN337" i="20"/>
  <c r="AM337" i="20"/>
  <c r="AL337" i="20"/>
  <c r="AK337" i="20"/>
  <c r="AJ337" i="20"/>
  <c r="AI337" i="20"/>
  <c r="AH337" i="20"/>
  <c r="AG337" i="20"/>
  <c r="AF337" i="20"/>
  <c r="AE337" i="20"/>
  <c r="AD337" i="20"/>
  <c r="AC337" i="20"/>
  <c r="AB337" i="20"/>
  <c r="AA337" i="20"/>
  <c r="Z337" i="20"/>
  <c r="Y337" i="20"/>
  <c r="X337" i="20"/>
  <c r="W337" i="20"/>
  <c r="V337" i="20"/>
  <c r="U337" i="20"/>
  <c r="T337" i="20"/>
  <c r="S337" i="20"/>
  <c r="R337" i="20"/>
  <c r="Q337" i="20"/>
  <c r="P337" i="20"/>
  <c r="O337" i="20"/>
  <c r="N336" i="20"/>
  <c r="N335" i="20"/>
  <c r="N334" i="20"/>
  <c r="N333" i="20"/>
  <c r="N332" i="20"/>
  <c r="N331" i="20"/>
  <c r="N330" i="20"/>
  <c r="N329" i="20"/>
  <c r="N328" i="20"/>
  <c r="N327" i="20"/>
  <c r="N326" i="20"/>
  <c r="BZ325" i="20"/>
  <c r="BO325" i="20"/>
  <c r="BN325" i="20"/>
  <c r="BM325" i="20"/>
  <c r="BL325" i="20"/>
  <c r="BK325" i="20"/>
  <c r="BJ325" i="20"/>
  <c r="BI325" i="20"/>
  <c r="BH325" i="20"/>
  <c r="BG325" i="20"/>
  <c r="BF325" i="20"/>
  <c r="BE325" i="20"/>
  <c r="BD325" i="20"/>
  <c r="BC325" i="20"/>
  <c r="BB325" i="20"/>
  <c r="BA325" i="20"/>
  <c r="AZ325" i="20"/>
  <c r="AY325" i="20"/>
  <c r="AX325" i="20"/>
  <c r="AW325" i="20"/>
  <c r="AV325" i="20"/>
  <c r="AU325" i="20"/>
  <c r="AT325" i="20"/>
  <c r="AS325" i="20"/>
  <c r="AR325" i="20"/>
  <c r="AQ325" i="20"/>
  <c r="AP325" i="20"/>
  <c r="AO325" i="20"/>
  <c r="AN325" i="20"/>
  <c r="AM325" i="20"/>
  <c r="AL325" i="20"/>
  <c r="AK325" i="20"/>
  <c r="AJ325" i="20"/>
  <c r="AI325" i="20"/>
  <c r="AH325" i="20"/>
  <c r="AG325" i="20"/>
  <c r="AF325" i="20"/>
  <c r="AE325" i="20"/>
  <c r="AD325" i="20"/>
  <c r="AC325" i="20"/>
  <c r="AB325" i="20"/>
  <c r="AA325" i="20"/>
  <c r="Z325" i="20"/>
  <c r="Y325" i="20"/>
  <c r="X325" i="20"/>
  <c r="W325" i="20"/>
  <c r="V325" i="20"/>
  <c r="U325" i="20"/>
  <c r="T325" i="20"/>
  <c r="S325" i="20"/>
  <c r="R325" i="20"/>
  <c r="Q325" i="20"/>
  <c r="P325" i="20"/>
  <c r="O325" i="20"/>
  <c r="N323" i="20"/>
  <c r="N322" i="20"/>
  <c r="N321" i="20"/>
  <c r="N320" i="20"/>
  <c r="N319" i="20"/>
  <c r="N325" i="20" s="1"/>
  <c r="BZ318" i="20"/>
  <c r="BO318" i="20"/>
  <c r="BN318" i="20"/>
  <c r="BM318" i="20"/>
  <c r="BL318" i="20"/>
  <c r="BK318" i="20"/>
  <c r="BJ318" i="20"/>
  <c r="BI318" i="20"/>
  <c r="BH318" i="20"/>
  <c r="BG318" i="20"/>
  <c r="BF318" i="20"/>
  <c r="BE318" i="20"/>
  <c r="BD318" i="20"/>
  <c r="BC318" i="20"/>
  <c r="BB318" i="20"/>
  <c r="BA318" i="20"/>
  <c r="AZ318" i="20"/>
  <c r="AY318" i="20"/>
  <c r="AX318" i="20"/>
  <c r="AW318" i="20"/>
  <c r="AV318" i="20"/>
  <c r="AU318" i="20"/>
  <c r="AT318" i="20"/>
  <c r="AS318" i="20"/>
  <c r="AR318" i="20"/>
  <c r="AQ318" i="20"/>
  <c r="AP318" i="20"/>
  <c r="AO318" i="20"/>
  <c r="AN318" i="20"/>
  <c r="AM318" i="20"/>
  <c r="AL318" i="20"/>
  <c r="AK318" i="20"/>
  <c r="AJ318" i="20"/>
  <c r="AI318" i="20"/>
  <c r="AH318" i="20"/>
  <c r="AG318" i="20"/>
  <c r="AF318" i="20"/>
  <c r="AE318" i="20"/>
  <c r="AD318" i="20"/>
  <c r="AC318" i="20"/>
  <c r="AB318" i="20"/>
  <c r="AA318" i="20"/>
  <c r="Z318" i="20"/>
  <c r="Y318" i="20"/>
  <c r="X318" i="20"/>
  <c r="W318" i="20"/>
  <c r="V318" i="20"/>
  <c r="U318" i="20"/>
  <c r="T318" i="20"/>
  <c r="S318" i="20"/>
  <c r="R318" i="20"/>
  <c r="Q318" i="20"/>
  <c r="P318" i="20"/>
  <c r="O318" i="20"/>
  <c r="N317" i="20"/>
  <c r="N316" i="20"/>
  <c r="N315" i="20"/>
  <c r="N314" i="20"/>
  <c r="N313" i="20"/>
  <c r="N312" i="20"/>
  <c r="N311" i="20"/>
  <c r="N310" i="20"/>
  <c r="N309" i="20"/>
  <c r="N308" i="20"/>
  <c r="N307" i="20"/>
  <c r="N306" i="20"/>
  <c r="N305" i="20"/>
  <c r="N304" i="20"/>
  <c r="N303" i="20"/>
  <c r="BZ302" i="20"/>
  <c r="BO302" i="20"/>
  <c r="BN302" i="20"/>
  <c r="BM302" i="20"/>
  <c r="BL302" i="20"/>
  <c r="BK302" i="20"/>
  <c r="BJ302" i="20"/>
  <c r="BI302" i="20"/>
  <c r="BH302" i="20"/>
  <c r="BG302" i="20"/>
  <c r="BF302" i="20"/>
  <c r="BE302" i="20"/>
  <c r="BD302" i="20"/>
  <c r="BC302" i="20"/>
  <c r="BB302" i="20"/>
  <c r="BA302" i="20"/>
  <c r="AZ302" i="20"/>
  <c r="AY302" i="20"/>
  <c r="AX302" i="20"/>
  <c r="AW302" i="20"/>
  <c r="AV302" i="20"/>
  <c r="AU302" i="20"/>
  <c r="AT302" i="20"/>
  <c r="AS302" i="20"/>
  <c r="AR302" i="20"/>
  <c r="AQ302" i="20"/>
  <c r="AP302" i="20"/>
  <c r="AO302" i="20"/>
  <c r="AN302" i="20"/>
  <c r="AM302" i="20"/>
  <c r="AL302" i="20"/>
  <c r="AK302" i="20"/>
  <c r="AJ302" i="20"/>
  <c r="AI302" i="20"/>
  <c r="AH302" i="20"/>
  <c r="AG302" i="20"/>
  <c r="AF302" i="20"/>
  <c r="AE302" i="20"/>
  <c r="AD302" i="20"/>
  <c r="AC302" i="20"/>
  <c r="AB302" i="20"/>
  <c r="AA302" i="20"/>
  <c r="Z302" i="20"/>
  <c r="Y302" i="20"/>
  <c r="X302" i="20"/>
  <c r="W302" i="20"/>
  <c r="V302" i="20"/>
  <c r="U302" i="20"/>
  <c r="T302" i="20"/>
  <c r="S302" i="20"/>
  <c r="R302" i="20"/>
  <c r="Q302" i="20"/>
  <c r="P302" i="20"/>
  <c r="O302" i="20"/>
  <c r="N300" i="20"/>
  <c r="N299" i="20"/>
  <c r="BZ298" i="20"/>
  <c r="BO298" i="20"/>
  <c r="BN298" i="20"/>
  <c r="BM298" i="20"/>
  <c r="BL298" i="20"/>
  <c r="BK298" i="20"/>
  <c r="BJ298" i="20"/>
  <c r="BI298" i="20"/>
  <c r="BH298" i="20"/>
  <c r="BG298" i="20"/>
  <c r="BF298" i="20"/>
  <c r="BE298" i="20"/>
  <c r="BD298" i="20"/>
  <c r="BC298" i="20"/>
  <c r="BB298" i="20"/>
  <c r="BA298" i="20"/>
  <c r="AZ298" i="20"/>
  <c r="AY298" i="20"/>
  <c r="AX298" i="20"/>
  <c r="AW298" i="20"/>
  <c r="AV298" i="20"/>
  <c r="AU298" i="20"/>
  <c r="AT298" i="20"/>
  <c r="AS298" i="20"/>
  <c r="AR298" i="20"/>
  <c r="AQ298" i="20"/>
  <c r="AP298" i="20"/>
  <c r="AO298" i="20"/>
  <c r="AN298" i="20"/>
  <c r="AM298" i="20"/>
  <c r="AL298" i="20"/>
  <c r="AK298" i="20"/>
  <c r="AJ298" i="20"/>
  <c r="AI298" i="20"/>
  <c r="AH298" i="20"/>
  <c r="AG298" i="20"/>
  <c r="AF298" i="20"/>
  <c r="AE298" i="20"/>
  <c r="AD298" i="20"/>
  <c r="AC298" i="20"/>
  <c r="AB298" i="20"/>
  <c r="AA298" i="20"/>
  <c r="Z298" i="20"/>
  <c r="Y298" i="20"/>
  <c r="X298" i="20"/>
  <c r="W298" i="20"/>
  <c r="V298" i="20"/>
  <c r="U298" i="20"/>
  <c r="T298" i="20"/>
  <c r="S298" i="20"/>
  <c r="R298" i="20"/>
  <c r="Q298" i="20"/>
  <c r="P298" i="20"/>
  <c r="O298" i="20"/>
  <c r="N294" i="20"/>
  <c r="N293" i="20"/>
  <c r="N292" i="20"/>
  <c r="N291" i="20"/>
  <c r="N290" i="20"/>
  <c r="N289" i="20"/>
  <c r="N288" i="20"/>
  <c r="N287" i="20"/>
  <c r="N286" i="20"/>
  <c r="N285" i="20"/>
  <c r="N284" i="20"/>
  <c r="N283" i="20"/>
  <c r="N282" i="20"/>
  <c r="N281" i="20"/>
  <c r="N280" i="20"/>
  <c r="N279" i="20"/>
  <c r="N278" i="20"/>
  <c r="N277" i="20"/>
  <c r="N276" i="20"/>
  <c r="N275" i="20"/>
  <c r="N274" i="20"/>
  <c r="N273" i="20"/>
  <c r="N272" i="20"/>
  <c r="N271" i="20"/>
  <c r="N270" i="20"/>
  <c r="N269" i="20"/>
  <c r="N268" i="20"/>
  <c r="N267" i="20"/>
  <c r="N266" i="20"/>
  <c r="N265" i="20"/>
  <c r="N264" i="20"/>
  <c r="N263" i="20"/>
  <c r="N262" i="20"/>
  <c r="N298" i="20" s="1"/>
  <c r="BZ261" i="20"/>
  <c r="BO261" i="20"/>
  <c r="BN261" i="20"/>
  <c r="BM261" i="20"/>
  <c r="BL261" i="20"/>
  <c r="BK261" i="20"/>
  <c r="BJ261" i="20"/>
  <c r="BI261" i="20"/>
  <c r="BH261" i="20"/>
  <c r="BG261" i="20"/>
  <c r="BF261" i="20"/>
  <c r="BE261" i="20"/>
  <c r="BD261" i="20"/>
  <c r="BC261" i="20"/>
  <c r="BB261" i="20"/>
  <c r="BA261" i="20"/>
  <c r="AZ261" i="20"/>
  <c r="AY261" i="20"/>
  <c r="AX261" i="20"/>
  <c r="AW261" i="20"/>
  <c r="AV261" i="20"/>
  <c r="AU261" i="20"/>
  <c r="AT261" i="20"/>
  <c r="AS261" i="20"/>
  <c r="AR261" i="20"/>
  <c r="AQ261" i="20"/>
  <c r="AP261" i="20"/>
  <c r="AO261" i="20"/>
  <c r="AN261" i="20"/>
  <c r="AM261" i="20"/>
  <c r="AL261" i="20"/>
  <c r="AK261" i="20"/>
  <c r="AJ261" i="20"/>
  <c r="AI261" i="20"/>
  <c r="AH261" i="20"/>
  <c r="AG261" i="20"/>
  <c r="AF261" i="20"/>
  <c r="AE261" i="20"/>
  <c r="AD261" i="20"/>
  <c r="AC261" i="20"/>
  <c r="AB261" i="20"/>
  <c r="AA261" i="20"/>
  <c r="Z261" i="20"/>
  <c r="Y261" i="20"/>
  <c r="X261" i="20"/>
  <c r="W261" i="20"/>
  <c r="V261" i="20"/>
  <c r="U261" i="20"/>
  <c r="T261" i="20"/>
  <c r="S261" i="20"/>
  <c r="R261" i="20"/>
  <c r="Q261" i="20"/>
  <c r="P261" i="20"/>
  <c r="O261" i="20"/>
  <c r="N260" i="20"/>
  <c r="N259" i="20"/>
  <c r="N261" i="20" s="1"/>
  <c r="BZ258" i="20"/>
  <c r="BO258" i="20"/>
  <c r="BN258" i="20"/>
  <c r="BM258" i="20"/>
  <c r="BL258" i="20"/>
  <c r="BK258" i="20"/>
  <c r="BJ258" i="20"/>
  <c r="BI258" i="20"/>
  <c r="BH258" i="20"/>
  <c r="BG258" i="20"/>
  <c r="BF258" i="20"/>
  <c r="BE258" i="20"/>
  <c r="BD258" i="20"/>
  <c r="BC258" i="20"/>
  <c r="BB258" i="20"/>
  <c r="BA258" i="20"/>
  <c r="AZ258" i="20"/>
  <c r="AY258" i="20"/>
  <c r="AX258" i="20"/>
  <c r="AW258" i="20"/>
  <c r="AV258" i="20"/>
  <c r="AU258" i="20"/>
  <c r="AT258" i="20"/>
  <c r="AS258" i="20"/>
  <c r="AR258" i="20"/>
  <c r="AQ258" i="20"/>
  <c r="AP258" i="20"/>
  <c r="AO258" i="20"/>
  <c r="AN258" i="20"/>
  <c r="AM258" i="20"/>
  <c r="AL258" i="20"/>
  <c r="AK258" i="20"/>
  <c r="AJ258" i="20"/>
  <c r="AI258" i="20"/>
  <c r="AH258" i="20"/>
  <c r="AG258" i="20"/>
  <c r="AF258" i="20"/>
  <c r="AE258" i="20"/>
  <c r="AD258" i="20"/>
  <c r="AC258" i="20"/>
  <c r="AB258" i="20"/>
  <c r="AA258" i="20"/>
  <c r="Z258" i="20"/>
  <c r="Y258" i="20"/>
  <c r="X258" i="20"/>
  <c r="W258" i="20"/>
  <c r="V258" i="20"/>
  <c r="U258" i="20"/>
  <c r="T258" i="20"/>
  <c r="S258" i="20"/>
  <c r="R258" i="20"/>
  <c r="Q258" i="20"/>
  <c r="P258" i="20"/>
  <c r="O258" i="20"/>
  <c r="N257" i="20"/>
  <c r="N258" i="20" s="1"/>
  <c r="BZ256" i="20"/>
  <c r="BO256" i="20"/>
  <c r="BN256" i="20"/>
  <c r="BM256" i="20"/>
  <c r="BL256" i="20"/>
  <c r="BK256" i="20"/>
  <c r="BJ256" i="20"/>
  <c r="BI256" i="20"/>
  <c r="BH256" i="20"/>
  <c r="BG256" i="20"/>
  <c r="BF256" i="20"/>
  <c r="BE256" i="20"/>
  <c r="BD256" i="20"/>
  <c r="BC256" i="20"/>
  <c r="BB256" i="20"/>
  <c r="BA256" i="20"/>
  <c r="AZ256" i="20"/>
  <c r="AY256" i="20"/>
  <c r="AX256" i="20"/>
  <c r="AW256" i="20"/>
  <c r="AV256" i="20"/>
  <c r="AU256" i="20"/>
  <c r="AT256" i="20"/>
  <c r="AS256" i="20"/>
  <c r="AR256" i="20"/>
  <c r="AQ256" i="20"/>
  <c r="AP256" i="20"/>
  <c r="AO256" i="20"/>
  <c r="AN256" i="20"/>
  <c r="AM256" i="20"/>
  <c r="AL256" i="20"/>
  <c r="AK256" i="20"/>
  <c r="AJ256" i="20"/>
  <c r="AI256" i="20"/>
  <c r="AH256" i="20"/>
  <c r="AG256" i="20"/>
  <c r="AF256" i="20"/>
  <c r="AE256" i="20"/>
  <c r="AD256" i="20"/>
  <c r="AC256" i="20"/>
  <c r="AB256" i="20"/>
  <c r="AA256" i="20"/>
  <c r="Z256" i="20"/>
  <c r="Y256" i="20"/>
  <c r="X256" i="20"/>
  <c r="W256" i="20"/>
  <c r="V256" i="20"/>
  <c r="U256" i="20"/>
  <c r="T256" i="20"/>
  <c r="S256" i="20"/>
  <c r="R256" i="20"/>
  <c r="Q256" i="20"/>
  <c r="P256" i="20"/>
  <c r="O256" i="20"/>
  <c r="N255" i="20"/>
  <c r="N254" i="20"/>
  <c r="N253" i="20"/>
  <c r="N252" i="20"/>
  <c r="BZ251" i="20"/>
  <c r="BO251" i="20"/>
  <c r="BN251" i="20"/>
  <c r="BM251" i="20"/>
  <c r="BL251" i="20"/>
  <c r="BK251" i="20"/>
  <c r="BJ251" i="20"/>
  <c r="BI251" i="20"/>
  <c r="BH251" i="20"/>
  <c r="BG251" i="20"/>
  <c r="BF251" i="20"/>
  <c r="BE251" i="20"/>
  <c r="BD251" i="20"/>
  <c r="BC251" i="20"/>
  <c r="BB251" i="20"/>
  <c r="BA251" i="20"/>
  <c r="AZ251" i="20"/>
  <c r="AY251" i="20"/>
  <c r="AX251" i="20"/>
  <c r="AW251" i="20"/>
  <c r="AV251" i="20"/>
  <c r="AU251" i="20"/>
  <c r="AT251" i="20"/>
  <c r="AS251" i="20"/>
  <c r="AR251" i="20"/>
  <c r="AQ251" i="20"/>
  <c r="AP251" i="20"/>
  <c r="AO251" i="20"/>
  <c r="AN251" i="20"/>
  <c r="AM251" i="20"/>
  <c r="AL251" i="20"/>
  <c r="AK251" i="20"/>
  <c r="AJ251" i="20"/>
  <c r="AI251" i="20"/>
  <c r="AH251" i="20"/>
  <c r="AG251" i="20"/>
  <c r="AF251" i="20"/>
  <c r="AE251" i="20"/>
  <c r="AD251" i="20"/>
  <c r="AC251" i="20"/>
  <c r="AB251" i="20"/>
  <c r="AA251" i="20"/>
  <c r="Z251" i="20"/>
  <c r="Y251" i="20"/>
  <c r="X251" i="20"/>
  <c r="W251" i="20"/>
  <c r="V251" i="20"/>
  <c r="U251" i="20"/>
  <c r="T251" i="20"/>
  <c r="S251" i="20"/>
  <c r="R251" i="20"/>
  <c r="Q251" i="20"/>
  <c r="P251" i="20"/>
  <c r="O251" i="20"/>
  <c r="N250" i="20"/>
  <c r="N249" i="20"/>
  <c r="N248" i="20"/>
  <c r="N247" i="20"/>
  <c r="N246" i="20"/>
  <c r="N251" i="20" s="1"/>
  <c r="BZ245" i="20"/>
  <c r="BO245" i="20"/>
  <c r="BN245" i="20"/>
  <c r="BM245" i="20"/>
  <c r="BL245" i="20"/>
  <c r="BK245" i="20"/>
  <c r="BJ245" i="20"/>
  <c r="BI245" i="20"/>
  <c r="BH245" i="20"/>
  <c r="BG245" i="20"/>
  <c r="BF245" i="20"/>
  <c r="BE245" i="20"/>
  <c r="BD245" i="20"/>
  <c r="BC245" i="20"/>
  <c r="BB245" i="20"/>
  <c r="BA245" i="20"/>
  <c r="AZ245" i="20"/>
  <c r="AY245" i="20"/>
  <c r="AX245" i="20"/>
  <c r="AW245" i="20"/>
  <c r="AV245" i="20"/>
  <c r="AU245" i="20"/>
  <c r="AT245" i="20"/>
  <c r="AS245" i="20"/>
  <c r="AR245" i="20"/>
  <c r="AQ245" i="20"/>
  <c r="AP245" i="20"/>
  <c r="AO245" i="20"/>
  <c r="AN245" i="20"/>
  <c r="AM245" i="20"/>
  <c r="AL245" i="20"/>
  <c r="AK245" i="20"/>
  <c r="AJ245" i="20"/>
  <c r="AI245" i="20"/>
  <c r="AH245" i="20"/>
  <c r="AG245" i="20"/>
  <c r="AF245" i="20"/>
  <c r="AE245" i="20"/>
  <c r="AD245" i="20"/>
  <c r="AC245" i="20"/>
  <c r="AB245" i="20"/>
  <c r="AA245" i="20"/>
  <c r="Z245" i="20"/>
  <c r="Y245" i="20"/>
  <c r="X245" i="20"/>
  <c r="W245" i="20"/>
  <c r="V245" i="20"/>
  <c r="U245" i="20"/>
  <c r="T245" i="20"/>
  <c r="S245" i="20"/>
  <c r="R245" i="20"/>
  <c r="Q245" i="20"/>
  <c r="P245" i="20"/>
  <c r="O245" i="20"/>
  <c r="N244" i="20"/>
  <c r="N245" i="20" s="1"/>
  <c r="BZ243" i="20"/>
  <c r="BO243" i="20"/>
  <c r="BN243" i="20"/>
  <c r="BM243" i="20"/>
  <c r="BL243" i="20"/>
  <c r="BK243" i="20"/>
  <c r="BJ243" i="20"/>
  <c r="BI243" i="20"/>
  <c r="BH243" i="20"/>
  <c r="BG243" i="20"/>
  <c r="BF243" i="20"/>
  <c r="BE243" i="20"/>
  <c r="BD243" i="20"/>
  <c r="BC243" i="20"/>
  <c r="BB243" i="20"/>
  <c r="BA243" i="20"/>
  <c r="AZ243" i="20"/>
  <c r="AY243" i="20"/>
  <c r="AX243" i="20"/>
  <c r="AW243" i="20"/>
  <c r="AV243" i="20"/>
  <c r="AU243" i="20"/>
  <c r="AT243" i="20"/>
  <c r="AS243" i="20"/>
  <c r="AR243" i="20"/>
  <c r="AQ243" i="20"/>
  <c r="AP243" i="20"/>
  <c r="AO243" i="20"/>
  <c r="AN243" i="20"/>
  <c r="AM243" i="20"/>
  <c r="AL243" i="20"/>
  <c r="AK243" i="20"/>
  <c r="AJ243" i="20"/>
  <c r="AI243" i="20"/>
  <c r="AH243" i="20"/>
  <c r="AG243" i="20"/>
  <c r="AF243" i="20"/>
  <c r="AE243" i="20"/>
  <c r="AD243" i="20"/>
  <c r="AC243" i="20"/>
  <c r="AB243" i="20"/>
  <c r="AA243" i="20"/>
  <c r="Z243" i="20"/>
  <c r="Y243" i="20"/>
  <c r="X243" i="20"/>
  <c r="W243" i="20"/>
  <c r="V243" i="20"/>
  <c r="U243" i="20"/>
  <c r="T243" i="20"/>
  <c r="S243" i="20"/>
  <c r="R243" i="20"/>
  <c r="Q243" i="20"/>
  <c r="P243" i="20"/>
  <c r="O243" i="20"/>
  <c r="N242" i="20"/>
  <c r="N243" i="20" s="1"/>
  <c r="BZ241" i="20"/>
  <c r="BO241" i="20"/>
  <c r="BN241" i="20"/>
  <c r="BM241" i="20"/>
  <c r="BL241" i="20"/>
  <c r="BK241" i="20"/>
  <c r="BJ241" i="20"/>
  <c r="BI241" i="20"/>
  <c r="BH241" i="20"/>
  <c r="BG241" i="20"/>
  <c r="BF241" i="20"/>
  <c r="BE241" i="20"/>
  <c r="BD241" i="20"/>
  <c r="BC241" i="20"/>
  <c r="BB241" i="20"/>
  <c r="BA241" i="20"/>
  <c r="AZ241" i="20"/>
  <c r="AY241" i="20"/>
  <c r="AX241" i="20"/>
  <c r="AW241" i="20"/>
  <c r="AV241" i="20"/>
  <c r="AU241" i="20"/>
  <c r="AT241" i="20"/>
  <c r="AS241" i="20"/>
  <c r="AR241" i="20"/>
  <c r="AQ241" i="20"/>
  <c r="AP241" i="20"/>
  <c r="AO241" i="20"/>
  <c r="AN241" i="20"/>
  <c r="AM241" i="20"/>
  <c r="AL241" i="20"/>
  <c r="AK241" i="20"/>
  <c r="AJ241" i="20"/>
  <c r="AI241" i="20"/>
  <c r="AH241" i="20"/>
  <c r="AG241" i="20"/>
  <c r="AF241" i="20"/>
  <c r="AE241" i="20"/>
  <c r="AD241" i="20"/>
  <c r="AC241" i="20"/>
  <c r="AB241" i="20"/>
  <c r="AA241" i="20"/>
  <c r="Z241" i="20"/>
  <c r="Y241" i="20"/>
  <c r="X241" i="20"/>
  <c r="W241" i="20"/>
  <c r="V241" i="20"/>
  <c r="U241" i="20"/>
  <c r="T241" i="20"/>
  <c r="S241" i="20"/>
  <c r="R241" i="20"/>
  <c r="Q241" i="20"/>
  <c r="P241" i="20"/>
  <c r="O241" i="20"/>
  <c r="N240" i="20"/>
  <c r="N241" i="20" s="1"/>
  <c r="BZ239" i="20"/>
  <c r="BO239" i="20"/>
  <c r="BN239" i="20"/>
  <c r="BM239" i="20"/>
  <c r="BL239" i="20"/>
  <c r="BK239" i="20"/>
  <c r="BJ239" i="20"/>
  <c r="BI239" i="20"/>
  <c r="BH239" i="20"/>
  <c r="BG239" i="20"/>
  <c r="BF239" i="20"/>
  <c r="BE239" i="20"/>
  <c r="BD239" i="20"/>
  <c r="BC239" i="20"/>
  <c r="BB239" i="20"/>
  <c r="BA239" i="20"/>
  <c r="AZ239" i="20"/>
  <c r="AY239" i="20"/>
  <c r="AX239" i="20"/>
  <c r="AW239" i="20"/>
  <c r="AV239" i="20"/>
  <c r="AU239" i="20"/>
  <c r="AT239" i="20"/>
  <c r="AS239" i="20"/>
  <c r="AR239" i="20"/>
  <c r="AQ239" i="20"/>
  <c r="AP239" i="20"/>
  <c r="AO239" i="20"/>
  <c r="AN239" i="20"/>
  <c r="AM239" i="20"/>
  <c r="AL239" i="20"/>
  <c r="AK239" i="20"/>
  <c r="AJ239" i="20"/>
  <c r="AI239" i="20"/>
  <c r="AH239" i="20"/>
  <c r="AG239" i="20"/>
  <c r="AF239" i="20"/>
  <c r="AE239" i="20"/>
  <c r="AD239" i="20"/>
  <c r="AC239" i="20"/>
  <c r="AB239" i="20"/>
  <c r="AA239" i="20"/>
  <c r="Z239" i="20"/>
  <c r="Y239" i="20"/>
  <c r="X239" i="20"/>
  <c r="W239" i="20"/>
  <c r="V239" i="20"/>
  <c r="U239" i="20"/>
  <c r="T239" i="20"/>
  <c r="S239" i="20"/>
  <c r="R239" i="20"/>
  <c r="Q239" i="20"/>
  <c r="P239" i="20"/>
  <c r="O239" i="20"/>
  <c r="N236" i="20"/>
  <c r="N235" i="20"/>
  <c r="N233" i="20"/>
  <c r="N232" i="20"/>
  <c r="N231" i="20"/>
  <c r="N230" i="20"/>
  <c r="N229" i="20"/>
  <c r="N228" i="20"/>
  <c r="N227" i="20"/>
  <c r="N226" i="20"/>
  <c r="N225" i="20"/>
  <c r="N224" i="20"/>
  <c r="N223" i="20"/>
  <c r="N222" i="20"/>
  <c r="N221" i="20"/>
  <c r="N220" i="20"/>
  <c r="N219" i="20"/>
  <c r="N218" i="20"/>
  <c r="N239" i="20" s="1"/>
  <c r="BZ217" i="20"/>
  <c r="BO217" i="20"/>
  <c r="BN217" i="20"/>
  <c r="BM217" i="20"/>
  <c r="BL217" i="20"/>
  <c r="BK217" i="20"/>
  <c r="BJ217" i="20"/>
  <c r="BI217" i="20"/>
  <c r="BH217" i="20"/>
  <c r="BG217" i="20"/>
  <c r="BF217" i="20"/>
  <c r="BE217" i="20"/>
  <c r="BD217" i="20"/>
  <c r="BC217" i="20"/>
  <c r="BB217" i="20"/>
  <c r="BA217" i="20"/>
  <c r="AZ217" i="20"/>
  <c r="AY217" i="20"/>
  <c r="AX217" i="20"/>
  <c r="AW217" i="20"/>
  <c r="AV217" i="20"/>
  <c r="AU217" i="20"/>
  <c r="AT217" i="20"/>
  <c r="AS217" i="20"/>
  <c r="AR217" i="20"/>
  <c r="AQ217" i="20"/>
  <c r="AP217" i="20"/>
  <c r="AO217" i="20"/>
  <c r="AN217" i="20"/>
  <c r="AM217" i="20"/>
  <c r="AL217" i="20"/>
  <c r="AK217" i="20"/>
  <c r="AJ217" i="20"/>
  <c r="AI217" i="20"/>
  <c r="AH217" i="20"/>
  <c r="AG217" i="20"/>
  <c r="AF217" i="20"/>
  <c r="AE217" i="20"/>
  <c r="AD217" i="20"/>
  <c r="AC217" i="20"/>
  <c r="AB217" i="20"/>
  <c r="AA217" i="20"/>
  <c r="Z217" i="20"/>
  <c r="Y217" i="20"/>
  <c r="X217" i="20"/>
  <c r="W217" i="20"/>
  <c r="V217" i="20"/>
  <c r="U217" i="20"/>
  <c r="T217" i="20"/>
  <c r="S217" i="20"/>
  <c r="R217" i="20"/>
  <c r="Q217" i="20"/>
  <c r="P217" i="20"/>
  <c r="O217" i="20"/>
  <c r="N215" i="20"/>
  <c r="N214" i="20"/>
  <c r="N213" i="20"/>
  <c r="N212" i="20"/>
  <c r="N211" i="20"/>
  <c r="N210" i="20"/>
  <c r="N209" i="20"/>
  <c r="N208" i="20"/>
  <c r="N207" i="20"/>
  <c r="N206" i="20"/>
  <c r="N205" i="20"/>
  <c r="BZ204" i="20"/>
  <c r="BO204" i="20"/>
  <c r="BN204" i="20"/>
  <c r="BM204" i="20"/>
  <c r="BL204" i="20"/>
  <c r="BK204" i="20"/>
  <c r="BJ204" i="20"/>
  <c r="BI204" i="20"/>
  <c r="BH204" i="20"/>
  <c r="BG204" i="20"/>
  <c r="BF204" i="20"/>
  <c r="BE204" i="20"/>
  <c r="BD204" i="20"/>
  <c r="BC204" i="20"/>
  <c r="BB204" i="20"/>
  <c r="BA204" i="20"/>
  <c r="AZ204" i="20"/>
  <c r="AY204" i="20"/>
  <c r="AX204" i="20"/>
  <c r="AW204" i="20"/>
  <c r="AV204" i="20"/>
  <c r="AU204" i="20"/>
  <c r="AT204" i="20"/>
  <c r="AS204" i="20"/>
  <c r="AR204" i="20"/>
  <c r="AQ204" i="20"/>
  <c r="AP204" i="20"/>
  <c r="AO204" i="20"/>
  <c r="AN204" i="20"/>
  <c r="AM204" i="20"/>
  <c r="AL204" i="20"/>
  <c r="AK204" i="20"/>
  <c r="AJ204" i="20"/>
  <c r="AI204" i="20"/>
  <c r="AH204" i="20"/>
  <c r="AG204" i="20"/>
  <c r="AF204" i="20"/>
  <c r="AE204" i="20"/>
  <c r="AD204" i="20"/>
  <c r="AC204" i="20"/>
  <c r="AB204" i="20"/>
  <c r="AA204" i="20"/>
  <c r="Z204" i="20"/>
  <c r="Y204" i="20"/>
  <c r="X204" i="20"/>
  <c r="W204" i="20"/>
  <c r="V204" i="20"/>
  <c r="U204" i="20"/>
  <c r="T204" i="20"/>
  <c r="S204" i="20"/>
  <c r="R204" i="20"/>
  <c r="Q204" i="20"/>
  <c r="P204" i="20"/>
  <c r="O204" i="20"/>
  <c r="N202" i="20"/>
  <c r="N201" i="20"/>
  <c r="N200" i="20"/>
  <c r="N199" i="20"/>
  <c r="N198" i="20"/>
  <c r="N197" i="20"/>
  <c r="N196" i="20"/>
  <c r="N195" i="20"/>
  <c r="N194" i="20"/>
  <c r="N193" i="20"/>
  <c r="N192" i="20"/>
  <c r="N191" i="20"/>
  <c r="N190" i="20"/>
  <c r="N189" i="20"/>
  <c r="BZ188" i="20"/>
  <c r="BO188" i="20"/>
  <c r="BN188" i="20"/>
  <c r="BM188" i="20"/>
  <c r="BL188" i="20"/>
  <c r="BK188" i="20"/>
  <c r="BJ188" i="20"/>
  <c r="BI188" i="20"/>
  <c r="BH188" i="20"/>
  <c r="BG188" i="20"/>
  <c r="BF188" i="20"/>
  <c r="BE188" i="20"/>
  <c r="BD188" i="20"/>
  <c r="BC188" i="20"/>
  <c r="BB188" i="20"/>
  <c r="BA188" i="20"/>
  <c r="AZ188" i="20"/>
  <c r="AY188" i="20"/>
  <c r="AX188" i="20"/>
  <c r="AW188" i="20"/>
  <c r="AV188" i="20"/>
  <c r="AU188" i="20"/>
  <c r="AT188" i="20"/>
  <c r="AS188" i="20"/>
  <c r="AR188" i="20"/>
  <c r="AQ188" i="20"/>
  <c r="AP188" i="20"/>
  <c r="AO188" i="20"/>
  <c r="AN188" i="20"/>
  <c r="AM188" i="20"/>
  <c r="AL188" i="20"/>
  <c r="AK188" i="20"/>
  <c r="AJ188" i="20"/>
  <c r="AI188" i="20"/>
  <c r="AH188" i="20"/>
  <c r="AG188" i="20"/>
  <c r="AF188" i="20"/>
  <c r="AE188" i="20"/>
  <c r="AD188" i="20"/>
  <c r="AC188" i="20"/>
  <c r="AB188" i="20"/>
  <c r="AA188" i="20"/>
  <c r="Z188" i="20"/>
  <c r="Y188" i="20"/>
  <c r="X188" i="20"/>
  <c r="W188" i="20"/>
  <c r="V188" i="20"/>
  <c r="U188" i="20"/>
  <c r="T188" i="20"/>
  <c r="S188" i="20"/>
  <c r="R188" i="20"/>
  <c r="Q188" i="20"/>
  <c r="P188" i="20"/>
  <c r="O188" i="20"/>
  <c r="N186" i="20"/>
  <c r="N185" i="20"/>
  <c r="N184" i="20"/>
  <c r="N183" i="20"/>
  <c r="N182" i="20"/>
  <c r="N181" i="20"/>
  <c r="N180" i="20"/>
  <c r="N179" i="20"/>
  <c r="N178" i="20"/>
  <c r="N177" i="20"/>
  <c r="N176" i="20"/>
  <c r="N175" i="20"/>
  <c r="N174" i="20"/>
  <c r="N173" i="20"/>
  <c r="N172" i="20"/>
  <c r="N171" i="20"/>
  <c r="BZ170" i="20"/>
  <c r="BO170" i="20"/>
  <c r="BN170" i="20"/>
  <c r="BM170" i="20"/>
  <c r="BL170" i="20"/>
  <c r="BK170" i="20"/>
  <c r="BJ170" i="20"/>
  <c r="BI170" i="20"/>
  <c r="BH170" i="20"/>
  <c r="BG170" i="20"/>
  <c r="BF170" i="20"/>
  <c r="BE170" i="20"/>
  <c r="BD170" i="20"/>
  <c r="BC170" i="20"/>
  <c r="BB170" i="20"/>
  <c r="BA170" i="20"/>
  <c r="AZ170" i="20"/>
  <c r="AY170" i="20"/>
  <c r="AX170" i="20"/>
  <c r="AW170" i="20"/>
  <c r="AV170" i="20"/>
  <c r="AU170" i="20"/>
  <c r="AT170" i="20"/>
  <c r="AS170" i="20"/>
  <c r="AR170" i="20"/>
  <c r="AQ170" i="20"/>
  <c r="AP170" i="20"/>
  <c r="AO170" i="20"/>
  <c r="AN170" i="20"/>
  <c r="AM170" i="20"/>
  <c r="AL170" i="20"/>
  <c r="AK170" i="20"/>
  <c r="AJ170" i="20"/>
  <c r="AI170" i="20"/>
  <c r="AH170" i="20"/>
  <c r="AG170" i="20"/>
  <c r="AF170" i="20"/>
  <c r="AE170" i="20"/>
  <c r="AD170" i="20"/>
  <c r="AC170" i="20"/>
  <c r="AB170" i="20"/>
  <c r="AA170" i="20"/>
  <c r="Z170" i="20"/>
  <c r="Y170" i="20"/>
  <c r="X170" i="20"/>
  <c r="W170" i="20"/>
  <c r="V170" i="20"/>
  <c r="U170" i="20"/>
  <c r="T170" i="20"/>
  <c r="S170" i="20"/>
  <c r="R170" i="20"/>
  <c r="Q170" i="20"/>
  <c r="P170" i="20"/>
  <c r="O170" i="20"/>
  <c r="N168" i="20"/>
  <c r="N167" i="20"/>
  <c r="N166" i="20"/>
  <c r="N165" i="20"/>
  <c r="N164" i="20"/>
  <c r="N163" i="20"/>
  <c r="N162" i="20"/>
  <c r="N161" i="20"/>
  <c r="N160" i="20"/>
  <c r="N159" i="20"/>
  <c r="N158" i="20"/>
  <c r="N157" i="20"/>
  <c r="N156" i="20"/>
  <c r="N155" i="20"/>
  <c r="N154" i="20"/>
  <c r="N153" i="20"/>
  <c r="N152" i="20"/>
  <c r="N151" i="20"/>
  <c r="N150" i="20"/>
  <c r="N149" i="20"/>
  <c r="N148" i="20"/>
  <c r="N147" i="20"/>
  <c r="N146" i="20"/>
  <c r="N145" i="20"/>
  <c r="N144" i="20"/>
  <c r="N143" i="20"/>
  <c r="N142" i="20"/>
  <c r="N141" i="20"/>
  <c r="N140" i="20"/>
  <c r="N139" i="20"/>
  <c r="N138" i="20"/>
  <c r="N137" i="20"/>
  <c r="N136" i="20"/>
  <c r="N135" i="20"/>
  <c r="N134" i="20"/>
  <c r="N133" i="20"/>
  <c r="N132" i="20"/>
  <c r="N131" i="20"/>
  <c r="N130" i="20"/>
  <c r="N170" i="20" s="1"/>
  <c r="BZ129" i="20"/>
  <c r="BO129" i="20"/>
  <c r="BN129" i="20"/>
  <c r="BM129" i="20"/>
  <c r="BL129" i="20"/>
  <c r="BK129" i="20"/>
  <c r="BJ129" i="20"/>
  <c r="BI129" i="20"/>
  <c r="BH129" i="20"/>
  <c r="BG129" i="20"/>
  <c r="BF129" i="20"/>
  <c r="BE129" i="20"/>
  <c r="BD129" i="20"/>
  <c r="BC129" i="20"/>
  <c r="BB129" i="20"/>
  <c r="BA129" i="20"/>
  <c r="AZ129" i="20"/>
  <c r="AY129" i="20"/>
  <c r="AX129" i="20"/>
  <c r="AW129" i="20"/>
  <c r="AV129" i="20"/>
  <c r="AU129" i="20"/>
  <c r="AT129" i="20"/>
  <c r="AS129" i="20"/>
  <c r="AR129" i="20"/>
  <c r="AQ129" i="20"/>
  <c r="AP129" i="20"/>
  <c r="AO129" i="20"/>
  <c r="AN129" i="20"/>
  <c r="AM129" i="20"/>
  <c r="AL129" i="20"/>
  <c r="AK129" i="20"/>
  <c r="AJ129" i="20"/>
  <c r="AI129" i="20"/>
  <c r="AH129" i="20"/>
  <c r="AG129" i="20"/>
  <c r="AF129" i="20"/>
  <c r="AE129" i="20"/>
  <c r="AD129" i="20"/>
  <c r="AC129" i="20"/>
  <c r="AB129" i="20"/>
  <c r="AA129" i="20"/>
  <c r="Z129" i="20"/>
  <c r="Y129" i="20"/>
  <c r="X129" i="20"/>
  <c r="W129" i="20"/>
  <c r="V129" i="20"/>
  <c r="U129" i="20"/>
  <c r="T129" i="20"/>
  <c r="S129" i="20"/>
  <c r="R129" i="20"/>
  <c r="Q129" i="20"/>
  <c r="P129" i="20"/>
  <c r="O129" i="20"/>
  <c r="N128" i="20"/>
  <c r="N127" i="20"/>
  <c r="N126" i="20"/>
  <c r="N125" i="20"/>
  <c r="N124" i="20"/>
  <c r="BZ123" i="20"/>
  <c r="BO123" i="20"/>
  <c r="BN123" i="20"/>
  <c r="BM123" i="20"/>
  <c r="BL123" i="20"/>
  <c r="BK123" i="20"/>
  <c r="BJ123" i="20"/>
  <c r="BI123" i="20"/>
  <c r="BH123" i="20"/>
  <c r="BG123" i="20"/>
  <c r="BF123" i="20"/>
  <c r="BE123" i="20"/>
  <c r="BD123" i="20"/>
  <c r="BC123" i="20"/>
  <c r="BB123" i="20"/>
  <c r="BA123" i="20"/>
  <c r="AZ123" i="20"/>
  <c r="AY123" i="20"/>
  <c r="AX123" i="20"/>
  <c r="AW123" i="20"/>
  <c r="AV123" i="20"/>
  <c r="AU123" i="20"/>
  <c r="AT123" i="20"/>
  <c r="AS123" i="20"/>
  <c r="AR123" i="20"/>
  <c r="AQ123" i="20"/>
  <c r="AP123" i="20"/>
  <c r="AO123" i="20"/>
  <c r="AN123" i="20"/>
  <c r="AM123" i="20"/>
  <c r="AL123" i="20"/>
  <c r="AK123" i="20"/>
  <c r="AJ123" i="20"/>
  <c r="AI123" i="20"/>
  <c r="AH123" i="20"/>
  <c r="AG123" i="20"/>
  <c r="AF123" i="20"/>
  <c r="AE123" i="20"/>
  <c r="AD123" i="20"/>
  <c r="AC123" i="20"/>
  <c r="AB123" i="20"/>
  <c r="AA123" i="20"/>
  <c r="Z123" i="20"/>
  <c r="Y123" i="20"/>
  <c r="X123" i="20"/>
  <c r="W123" i="20"/>
  <c r="V123" i="20"/>
  <c r="U123" i="20"/>
  <c r="T123" i="20"/>
  <c r="S123" i="20"/>
  <c r="R123" i="20"/>
  <c r="Q123" i="20"/>
  <c r="P123" i="20"/>
  <c r="O123" i="20"/>
  <c r="N120" i="20"/>
  <c r="N119" i="20"/>
  <c r="N118" i="20"/>
  <c r="N117" i="20"/>
  <c r="N116" i="20"/>
  <c r="N115" i="20"/>
  <c r="N114" i="20"/>
  <c r="N113" i="20"/>
  <c r="N112" i="20"/>
  <c r="N111" i="20"/>
  <c r="N110" i="20"/>
  <c r="N109" i="20"/>
  <c r="N108" i="20"/>
  <c r="N107" i="20"/>
  <c r="N106" i="20"/>
  <c r="N105" i="20"/>
  <c r="N104" i="20"/>
  <c r="N103" i="20"/>
  <c r="N102" i="20"/>
  <c r="N101" i="20"/>
  <c r="N100" i="20"/>
  <c r="N123" i="20" s="1"/>
  <c r="BZ99" i="20"/>
  <c r="BO99" i="20"/>
  <c r="BN99" i="20"/>
  <c r="BM99" i="20"/>
  <c r="BL99" i="20"/>
  <c r="BK99" i="20"/>
  <c r="BJ99" i="20"/>
  <c r="BI99" i="20"/>
  <c r="BH99" i="20"/>
  <c r="BG99" i="20"/>
  <c r="BF99" i="20"/>
  <c r="BE99" i="20"/>
  <c r="BD99" i="20"/>
  <c r="BC99" i="20"/>
  <c r="BB99" i="20"/>
  <c r="BA99" i="20"/>
  <c r="AZ99" i="20"/>
  <c r="AY99" i="20"/>
  <c r="AX99" i="20"/>
  <c r="AW99" i="20"/>
  <c r="AV99" i="20"/>
  <c r="AU99" i="20"/>
  <c r="AT99" i="20"/>
  <c r="AS99" i="20"/>
  <c r="AR99" i="20"/>
  <c r="AQ99" i="20"/>
  <c r="AP99" i="20"/>
  <c r="AO99" i="20"/>
  <c r="AN99" i="20"/>
  <c r="AM99" i="20"/>
  <c r="AL99" i="20"/>
  <c r="AK99" i="20"/>
  <c r="AJ99" i="20"/>
  <c r="AI99" i="20"/>
  <c r="AH99" i="20"/>
  <c r="AG99" i="20"/>
  <c r="AF99" i="20"/>
  <c r="AE99" i="20"/>
  <c r="AD99" i="20"/>
  <c r="AC99" i="20"/>
  <c r="AB99" i="20"/>
  <c r="AA99" i="20"/>
  <c r="Z99" i="20"/>
  <c r="Y99" i="20"/>
  <c r="X99" i="20"/>
  <c r="W99" i="20"/>
  <c r="V99" i="20"/>
  <c r="U99" i="20"/>
  <c r="T99" i="20"/>
  <c r="S99" i="20"/>
  <c r="R99" i="20"/>
  <c r="Q99" i="20"/>
  <c r="P99" i="20"/>
  <c r="O99" i="20"/>
  <c r="N94" i="20"/>
  <c r="N93" i="20"/>
  <c r="N92" i="20"/>
  <c r="N91" i="20"/>
  <c r="N90" i="20"/>
  <c r="N89" i="20"/>
  <c r="N88" i="20"/>
  <c r="N87" i="20"/>
  <c r="N86" i="20"/>
  <c r="N85" i="20"/>
  <c r="N84" i="20"/>
  <c r="N83" i="20"/>
  <c r="N82" i="20"/>
  <c r="BZ81" i="20"/>
  <c r="BO81" i="20"/>
  <c r="BN81" i="20"/>
  <c r="BM81" i="20"/>
  <c r="BL81" i="20"/>
  <c r="BK81" i="20"/>
  <c r="BJ81" i="20"/>
  <c r="BI81" i="20"/>
  <c r="BH81" i="20"/>
  <c r="BG81" i="20"/>
  <c r="BF81" i="20"/>
  <c r="BE81" i="20"/>
  <c r="BD81" i="20"/>
  <c r="BC81" i="20"/>
  <c r="BB81" i="20"/>
  <c r="BA81" i="20"/>
  <c r="AZ81" i="20"/>
  <c r="AY81" i="20"/>
  <c r="AX81" i="20"/>
  <c r="AW81" i="20"/>
  <c r="AV81" i="20"/>
  <c r="AU81" i="20"/>
  <c r="AT81" i="20"/>
  <c r="AS81" i="20"/>
  <c r="AR81" i="20"/>
  <c r="AQ81" i="20"/>
  <c r="AP81" i="20"/>
  <c r="AO81" i="20"/>
  <c r="AN81" i="20"/>
  <c r="AM81" i="20"/>
  <c r="AL81" i="20"/>
  <c r="AK81" i="20"/>
  <c r="AJ81" i="20"/>
  <c r="AI81" i="20"/>
  <c r="AH81" i="20"/>
  <c r="AG81" i="20"/>
  <c r="AF81" i="20"/>
  <c r="AE81" i="20"/>
  <c r="AD81" i="20"/>
  <c r="AC81" i="20"/>
  <c r="AB81" i="20"/>
  <c r="AA81" i="20"/>
  <c r="Z81" i="20"/>
  <c r="Y81" i="20"/>
  <c r="X81" i="20"/>
  <c r="W81" i="20"/>
  <c r="V81" i="20"/>
  <c r="U81" i="20"/>
  <c r="T81" i="20"/>
  <c r="S81" i="20"/>
  <c r="R81" i="20"/>
  <c r="Q81" i="20"/>
  <c r="P81" i="20"/>
  <c r="O81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3" i="20"/>
  <c r="N62" i="20"/>
  <c r="N61" i="20"/>
  <c r="N60" i="20"/>
  <c r="N59" i="20"/>
  <c r="N58" i="20"/>
  <c r="N57" i="20"/>
  <c r="N56" i="20"/>
  <c r="N55" i="20"/>
  <c r="N54" i="20"/>
  <c r="N53" i="20"/>
  <c r="N52" i="20"/>
  <c r="BZ51" i="20"/>
  <c r="BO51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0" i="20"/>
  <c r="N49" i="20"/>
  <c r="N48" i="20"/>
  <c r="N47" i="20"/>
  <c r="N46" i="20"/>
  <c r="N45" i="20"/>
  <c r="N44" i="20"/>
  <c r="N51" i="20" s="1"/>
  <c r="BO43" i="20"/>
  <c r="BN43" i="20"/>
  <c r="BM43" i="20"/>
  <c r="BL43" i="20"/>
  <c r="BK43" i="20"/>
  <c r="BJ43" i="20"/>
  <c r="BI43" i="20"/>
  <c r="BH43" i="20"/>
  <c r="BG43" i="20"/>
  <c r="BF43" i="20"/>
  <c r="BE43" i="20"/>
  <c r="BD43" i="20"/>
  <c r="BC43" i="20"/>
  <c r="BB43" i="20"/>
  <c r="BA43" i="20"/>
  <c r="AZ43" i="20"/>
  <c r="AY43" i="20"/>
  <c r="AX43" i="20"/>
  <c r="AW43" i="20"/>
  <c r="AV43" i="20"/>
  <c r="AU43" i="20"/>
  <c r="AT43" i="20"/>
  <c r="AS43" i="20"/>
  <c r="AR43" i="20"/>
  <c r="AQ43" i="20"/>
  <c r="AP43" i="20"/>
  <c r="AO43" i="20"/>
  <c r="AN43" i="20"/>
  <c r="AM43" i="20"/>
  <c r="AL43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1" i="20"/>
  <c r="N40" i="20"/>
  <c r="N39" i="20"/>
  <c r="N38" i="20"/>
  <c r="N37" i="20"/>
  <c r="N36" i="20"/>
  <c r="N35" i="20"/>
  <c r="N34" i="20"/>
  <c r="N33" i="20"/>
  <c r="N32" i="20"/>
  <c r="N31" i="20"/>
  <c r="N43" i="20" s="1"/>
  <c r="BZ30" i="20"/>
  <c r="BO30" i="20"/>
  <c r="BN30" i="20"/>
  <c r="BM30" i="20"/>
  <c r="BL30" i="20"/>
  <c r="BK30" i="20"/>
  <c r="BJ30" i="20"/>
  <c r="BI30" i="20"/>
  <c r="BH30" i="20"/>
  <c r="BG30" i="20"/>
  <c r="BF30" i="20"/>
  <c r="BE30" i="20"/>
  <c r="BD30" i="20"/>
  <c r="BC30" i="20"/>
  <c r="BB30" i="20"/>
  <c r="BA30" i="20"/>
  <c r="AZ30" i="20"/>
  <c r="AY30" i="20"/>
  <c r="AX30" i="20"/>
  <c r="AW30" i="20"/>
  <c r="AV30" i="20"/>
  <c r="AU30" i="20"/>
  <c r="AT30" i="20"/>
  <c r="AS30" i="20"/>
  <c r="AR30" i="20"/>
  <c r="AQ30" i="20"/>
  <c r="AP30" i="20"/>
  <c r="AO30" i="20"/>
  <c r="AN30" i="20"/>
  <c r="AM30" i="20"/>
  <c r="AL30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28" i="20"/>
  <c r="N27" i="20"/>
  <c r="N26" i="20"/>
  <c r="N25" i="20"/>
  <c r="N30" i="20" s="1"/>
  <c r="BZ24" i="20"/>
  <c r="BO24" i="20"/>
  <c r="BN24" i="20"/>
  <c r="BM24" i="20"/>
  <c r="BL24" i="20"/>
  <c r="BK24" i="20"/>
  <c r="BJ24" i="20"/>
  <c r="BI24" i="20"/>
  <c r="BH24" i="20"/>
  <c r="BG24" i="20"/>
  <c r="BF24" i="20"/>
  <c r="BE24" i="20"/>
  <c r="BD24" i="20"/>
  <c r="BC24" i="20"/>
  <c r="BB24" i="20"/>
  <c r="BA24" i="20"/>
  <c r="AZ24" i="20"/>
  <c r="AY24" i="20"/>
  <c r="AX24" i="20"/>
  <c r="AW24" i="20"/>
  <c r="AV24" i="20"/>
  <c r="AU24" i="20"/>
  <c r="AT24" i="20"/>
  <c r="AS24" i="20"/>
  <c r="AR24" i="20"/>
  <c r="AQ24" i="20"/>
  <c r="AP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O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24" i="20" s="1"/>
  <c r="BZ10" i="20"/>
  <c r="BZ497" i="20" s="1"/>
  <c r="BO10" i="20"/>
  <c r="BO497" i="20" s="1"/>
  <c r="BN10" i="20"/>
  <c r="BN497" i="20" s="1"/>
  <c r="BM10" i="20"/>
  <c r="BM497" i="20" s="1"/>
  <c r="BL10" i="20"/>
  <c r="BL497" i="20" s="1"/>
  <c r="BK10" i="20"/>
  <c r="BK497" i="20" s="1"/>
  <c r="BJ10" i="20"/>
  <c r="BJ497" i="20" s="1"/>
  <c r="BI10" i="20"/>
  <c r="BI497" i="20" s="1"/>
  <c r="BH10" i="20"/>
  <c r="BH497" i="20" s="1"/>
  <c r="BG10" i="20"/>
  <c r="BG497" i="20" s="1"/>
  <c r="BF10" i="20"/>
  <c r="BF497" i="20" s="1"/>
  <c r="BE10" i="20"/>
  <c r="BE497" i="20" s="1"/>
  <c r="BD10" i="20"/>
  <c r="BD497" i="20" s="1"/>
  <c r="BC10" i="20"/>
  <c r="BC497" i="20" s="1"/>
  <c r="BB10" i="20"/>
  <c r="BB497" i="20" s="1"/>
  <c r="BA10" i="20"/>
  <c r="BA497" i="20" s="1"/>
  <c r="AZ10" i="20"/>
  <c r="AZ497" i="20" s="1"/>
  <c r="AY10" i="20"/>
  <c r="AY497" i="20" s="1"/>
  <c r="AX10" i="20"/>
  <c r="AX497" i="20" s="1"/>
  <c r="AW10" i="20"/>
  <c r="AW497" i="20" s="1"/>
  <c r="AV10" i="20"/>
  <c r="AV497" i="20" s="1"/>
  <c r="AU10" i="20"/>
  <c r="AU497" i="20" s="1"/>
  <c r="AT10" i="20"/>
  <c r="AT497" i="20" s="1"/>
  <c r="AS10" i="20"/>
  <c r="AS497" i="20" s="1"/>
  <c r="AR10" i="20"/>
  <c r="AR497" i="20" s="1"/>
  <c r="AQ10" i="20"/>
  <c r="AQ497" i="20" s="1"/>
  <c r="AP10" i="20"/>
  <c r="AP497" i="20" s="1"/>
  <c r="AO10" i="20"/>
  <c r="AO497" i="20" s="1"/>
  <c r="AN10" i="20"/>
  <c r="AN497" i="20" s="1"/>
  <c r="AM10" i="20"/>
  <c r="AM497" i="20" s="1"/>
  <c r="AL10" i="20"/>
  <c r="AL497" i="20" s="1"/>
  <c r="AK10" i="20"/>
  <c r="AK497" i="20" s="1"/>
  <c r="AJ10" i="20"/>
  <c r="AJ497" i="20" s="1"/>
  <c r="AI10" i="20"/>
  <c r="AI497" i="20" s="1"/>
  <c r="AH10" i="20"/>
  <c r="AH497" i="20" s="1"/>
  <c r="AG10" i="20"/>
  <c r="AG497" i="20" s="1"/>
  <c r="AF10" i="20"/>
  <c r="AF497" i="20" s="1"/>
  <c r="AE10" i="20"/>
  <c r="AE497" i="20" s="1"/>
  <c r="AD10" i="20"/>
  <c r="AD497" i="20" s="1"/>
  <c r="AC10" i="20"/>
  <c r="AC497" i="20" s="1"/>
  <c r="AB10" i="20"/>
  <c r="AB497" i="20" s="1"/>
  <c r="AA10" i="20"/>
  <c r="AA497" i="20" s="1"/>
  <c r="Z10" i="20"/>
  <c r="Z497" i="20" s="1"/>
  <c r="Y10" i="20"/>
  <c r="Y497" i="20" s="1"/>
  <c r="X10" i="20"/>
  <c r="X497" i="20" s="1"/>
  <c r="W10" i="20"/>
  <c r="W497" i="20" s="1"/>
  <c r="V10" i="20"/>
  <c r="V497" i="20" s="1"/>
  <c r="U10" i="20"/>
  <c r="U497" i="20" s="1"/>
  <c r="T10" i="20"/>
  <c r="T497" i="20" s="1"/>
  <c r="S10" i="20"/>
  <c r="S497" i="20" s="1"/>
  <c r="R10" i="20"/>
  <c r="R497" i="20" s="1"/>
  <c r="Q10" i="20"/>
  <c r="Q497" i="20" s="1"/>
  <c r="P10" i="20"/>
  <c r="P497" i="20" s="1"/>
  <c r="O10" i="20"/>
  <c r="O497" i="20" s="1"/>
  <c r="N9" i="20"/>
  <c r="N8" i="20"/>
  <c r="N7" i="20"/>
  <c r="N6" i="20"/>
  <c r="N5" i="20"/>
  <c r="N4" i="20"/>
  <c r="N3" i="20"/>
  <c r="N193" i="5" l="1"/>
  <c r="M82" i="48"/>
  <c r="M169" i="5"/>
  <c r="L72" i="48"/>
  <c r="N157" i="5"/>
  <c r="M67" i="48"/>
  <c r="N145" i="5"/>
  <c r="M62" i="48"/>
  <c r="N133" i="5"/>
  <c r="M57" i="48"/>
  <c r="M109" i="5"/>
  <c r="L47" i="48"/>
  <c r="J29" i="50" s="1"/>
  <c r="J31" i="50" s="1"/>
  <c r="K181" i="5"/>
  <c r="J77" i="48"/>
  <c r="H39" i="50" s="1"/>
  <c r="H41" i="50" s="1"/>
  <c r="N78" i="10"/>
  <c r="N85" i="10"/>
  <c r="N71" i="10"/>
  <c r="N43" i="10"/>
  <c r="N29" i="10"/>
  <c r="N15" i="10"/>
  <c r="N64" i="10"/>
  <c r="N57" i="10"/>
  <c r="N50" i="10"/>
  <c r="N22" i="10"/>
  <c r="N36" i="10"/>
  <c r="L87" i="10"/>
  <c r="L73" i="10"/>
  <c r="L45" i="10"/>
  <c r="L31" i="10"/>
  <c r="L80" i="10"/>
  <c r="L59" i="10"/>
  <c r="L52" i="10"/>
  <c r="L24" i="10"/>
  <c r="L66" i="10"/>
  <c r="L38" i="10"/>
  <c r="N84" i="10"/>
  <c r="N77" i="10"/>
  <c r="N63" i="10"/>
  <c r="N56" i="10"/>
  <c r="N49" i="10"/>
  <c r="N35" i="10"/>
  <c r="N21" i="10"/>
  <c r="N70" i="10"/>
  <c r="N42" i="10"/>
  <c r="N28" i="10"/>
  <c r="N14" i="10"/>
  <c r="N86" i="10"/>
  <c r="N79" i="10"/>
  <c r="N65" i="10"/>
  <c r="N58" i="10"/>
  <c r="N51" i="10"/>
  <c r="N37" i="10"/>
  <c r="N23" i="10"/>
  <c r="N72" i="10"/>
  <c r="N30" i="10"/>
  <c r="N16" i="10"/>
  <c r="N44" i="10"/>
  <c r="M87" i="10"/>
  <c r="M73" i="10"/>
  <c r="M80" i="10"/>
  <c r="M66" i="10"/>
  <c r="M59" i="10"/>
  <c r="M52" i="10"/>
  <c r="M38" i="10"/>
  <c r="M24" i="10"/>
  <c r="M45" i="10"/>
  <c r="M31" i="10"/>
  <c r="N76" i="10"/>
  <c r="N83" i="10"/>
  <c r="N69" i="10"/>
  <c r="N55" i="10"/>
  <c r="N41" i="10"/>
  <c r="N27" i="10"/>
  <c r="N48" i="10"/>
  <c r="N20" i="10"/>
  <c r="N62" i="10"/>
  <c r="N34" i="10"/>
  <c r="N13" i="10"/>
  <c r="Q20" i="5"/>
  <c r="N10" i="10"/>
  <c r="L17" i="10"/>
  <c r="M17" i="10"/>
  <c r="X253" i="21"/>
  <c r="X207" i="21"/>
  <c r="X206" i="21"/>
  <c r="X254" i="21"/>
  <c r="N81" i="20"/>
  <c r="N99" i="20"/>
  <c r="N129" i="20"/>
  <c r="N217" i="20"/>
  <c r="N256" i="20"/>
  <c r="N302" i="20"/>
  <c r="N318" i="20"/>
  <c r="N337" i="20"/>
  <c r="N355" i="20"/>
  <c r="N362" i="20"/>
  <c r="N376" i="20"/>
  <c r="N412" i="20"/>
  <c r="N444" i="20"/>
  <c r="N456" i="20"/>
  <c r="N468" i="20"/>
  <c r="N474" i="20"/>
  <c r="N386" i="20"/>
  <c r="N425" i="20"/>
  <c r="N188" i="20"/>
  <c r="N204" i="20"/>
  <c r="N10" i="20"/>
  <c r="N497" i="20" s="1"/>
  <c r="O193" i="5" l="1"/>
  <c r="N82" i="48"/>
  <c r="N169" i="5"/>
  <c r="M72" i="48"/>
  <c r="O157" i="5"/>
  <c r="N67" i="48"/>
  <c r="O145" i="5"/>
  <c r="N62" i="48"/>
  <c r="O133" i="5"/>
  <c r="N57" i="48"/>
  <c r="N109" i="5"/>
  <c r="M47" i="48"/>
  <c r="K29" i="50" s="1"/>
  <c r="K31" i="50" s="1"/>
  <c r="L181" i="5"/>
  <c r="K77" i="48"/>
  <c r="I39" i="50" s="1"/>
  <c r="I41" i="50" s="1"/>
  <c r="N80" i="10"/>
  <c r="N87" i="10"/>
  <c r="N73" i="10"/>
  <c r="N45" i="10"/>
  <c r="N31" i="10"/>
  <c r="N17" i="10"/>
  <c r="N66" i="10"/>
  <c r="N38" i="10"/>
  <c r="N59" i="10"/>
  <c r="N52" i="10"/>
  <c r="N24" i="10"/>
  <c r="Q6" i="5"/>
  <c r="Q7" i="5"/>
  <c r="P193" i="5" l="1"/>
  <c r="P82" i="48" s="1"/>
  <c r="O82" i="48"/>
  <c r="O169" i="5"/>
  <c r="N72" i="48"/>
  <c r="P157" i="5"/>
  <c r="P67" i="48" s="1"/>
  <c r="O67" i="48"/>
  <c r="P145" i="5"/>
  <c r="P62" i="48" s="1"/>
  <c r="O62" i="48"/>
  <c r="P133" i="5"/>
  <c r="P57" i="48" s="1"/>
  <c r="O57" i="48"/>
  <c r="O109" i="5"/>
  <c r="N47" i="48"/>
  <c r="L29" i="50" s="1"/>
  <c r="L31" i="50" s="1"/>
  <c r="M181" i="5"/>
  <c r="L77" i="48"/>
  <c r="J39" i="50" s="1"/>
  <c r="J41" i="50" s="1"/>
  <c r="Q8" i="5"/>
  <c r="G6" i="10"/>
  <c r="F6" i="10"/>
  <c r="G99" i="10" s="1"/>
  <c r="P169" i="5" l="1"/>
  <c r="P72" i="48" s="1"/>
  <c r="O72" i="48"/>
  <c r="P109" i="5"/>
  <c r="P47" i="48" s="1"/>
  <c r="N29" i="50" s="1"/>
  <c r="N31" i="50" s="1"/>
  <c r="O47" i="48"/>
  <c r="M29" i="50" s="1"/>
  <c r="M31" i="50" s="1"/>
  <c r="N181" i="5"/>
  <c r="M77" i="48"/>
  <c r="K39" i="50" s="1"/>
  <c r="K41" i="50" s="1"/>
  <c r="H6" i="10"/>
  <c r="I6" i="10"/>
  <c r="G100" i="10" s="1"/>
  <c r="F13" i="10"/>
  <c r="H99" i="10" s="1"/>
  <c r="J6" i="10"/>
  <c r="G13" i="10"/>
  <c r="O181" i="5" l="1"/>
  <c r="N77" i="48"/>
  <c r="L39" i="50" s="1"/>
  <c r="L41" i="50" s="1"/>
  <c r="U6" i="10"/>
  <c r="T6" i="10"/>
  <c r="H13" i="10"/>
  <c r="K6" i="10"/>
  <c r="J13" i="10"/>
  <c r="G20" i="10"/>
  <c r="I13" i="10"/>
  <c r="H100" i="10" s="1"/>
  <c r="F20" i="10"/>
  <c r="I99" i="10" s="1"/>
  <c r="P181" i="5" l="1"/>
  <c r="P77" i="48" s="1"/>
  <c r="N39" i="50" s="1"/>
  <c r="N41" i="50" s="1"/>
  <c r="O77" i="48"/>
  <c r="M39" i="50" s="1"/>
  <c r="M41" i="50" s="1"/>
  <c r="U13" i="10"/>
  <c r="T13" i="10"/>
  <c r="H20" i="10"/>
  <c r="K13" i="10"/>
  <c r="F27" i="10"/>
  <c r="J99" i="10" s="1"/>
  <c r="I20" i="10"/>
  <c r="I100" i="10" s="1"/>
  <c r="G27" i="10"/>
  <c r="G34" i="10" s="1"/>
  <c r="J20" i="10"/>
  <c r="AL25" i="16"/>
  <c r="AK7" i="16"/>
  <c r="AK25" i="16" s="1"/>
  <c r="AJ7" i="16"/>
  <c r="AJ25" i="16" s="1"/>
  <c r="AI25" i="16"/>
  <c r="AH7" i="16"/>
  <c r="AH25" i="16" s="1"/>
  <c r="AG7" i="16"/>
  <c r="AG25" i="16" s="1"/>
  <c r="AF25" i="16"/>
  <c r="AE7" i="16"/>
  <c r="AE25" i="16" s="1"/>
  <c r="AD7" i="16"/>
  <c r="AD25" i="16" s="1"/>
  <c r="AC25" i="16"/>
  <c r="AB7" i="16"/>
  <c r="AB25" i="16" s="1"/>
  <c r="AA7" i="16"/>
  <c r="AA25" i="16" s="1"/>
  <c r="Z25" i="16"/>
  <c r="Y7" i="16"/>
  <c r="Y25" i="16" s="1"/>
  <c r="X7" i="16"/>
  <c r="X25" i="16" s="1"/>
  <c r="W25" i="16"/>
  <c r="V7" i="16"/>
  <c r="V25" i="16" s="1"/>
  <c r="U25" i="16"/>
  <c r="T25" i="16"/>
  <c r="S7" i="16"/>
  <c r="S25" i="16" s="1"/>
  <c r="R7" i="16"/>
  <c r="R25" i="16" s="1"/>
  <c r="Q25" i="16"/>
  <c r="P7" i="16"/>
  <c r="P25" i="16" s="1"/>
  <c r="O7" i="16"/>
  <c r="O25" i="16" s="1"/>
  <c r="N25" i="16"/>
  <c r="M25" i="16"/>
  <c r="L25" i="16"/>
  <c r="K25" i="16"/>
  <c r="J7" i="16"/>
  <c r="I7" i="16"/>
  <c r="E8" i="16"/>
  <c r="E15" i="16" s="1"/>
  <c r="AK6" i="16"/>
  <c r="AK24" i="16" s="1"/>
  <c r="AJ6" i="16"/>
  <c r="AJ24" i="16" s="1"/>
  <c r="AI8" i="16"/>
  <c r="AH6" i="16"/>
  <c r="AH24" i="16" s="1"/>
  <c r="AG6" i="16"/>
  <c r="AG24" i="16" s="1"/>
  <c r="AE6" i="16"/>
  <c r="AE24" i="16" s="1"/>
  <c r="AD6" i="16"/>
  <c r="AD24" i="16" s="1"/>
  <c r="AB6" i="16"/>
  <c r="AB24" i="16" s="1"/>
  <c r="AA6" i="16"/>
  <c r="AA24" i="16" s="1"/>
  <c r="Y6" i="16"/>
  <c r="Y24" i="16" s="1"/>
  <c r="X6" i="16"/>
  <c r="X24" i="16" s="1"/>
  <c r="V6" i="16"/>
  <c r="V24" i="16" s="1"/>
  <c r="U6" i="16"/>
  <c r="U24" i="16" s="1"/>
  <c r="S6" i="16"/>
  <c r="S24" i="16" s="1"/>
  <c r="R6" i="16"/>
  <c r="R24" i="16" s="1"/>
  <c r="P6" i="16"/>
  <c r="P24" i="16" s="1"/>
  <c r="O6" i="16"/>
  <c r="O24" i="16" s="1"/>
  <c r="M24" i="16"/>
  <c r="L24" i="16"/>
  <c r="J6" i="16"/>
  <c r="H8" i="16"/>
  <c r="G8" i="16"/>
  <c r="F8" i="16"/>
  <c r="D8" i="16"/>
  <c r="D15" i="16" s="1"/>
  <c r="C8" i="16"/>
  <c r="C15" i="16" s="1"/>
  <c r="F7" i="10"/>
  <c r="G107" i="10" s="1"/>
  <c r="G8" i="10"/>
  <c r="F8" i="10"/>
  <c r="G115" i="10" s="1"/>
  <c r="H15" i="16" l="1"/>
  <c r="I14" i="16"/>
  <c r="L14" i="16" s="1"/>
  <c r="O14" i="16" s="1"/>
  <c r="R14" i="16" s="1"/>
  <c r="U14" i="16" s="1"/>
  <c r="X14" i="16" s="1"/>
  <c r="AA14" i="16" s="1"/>
  <c r="AD14" i="16" s="1"/>
  <c r="AG14" i="16" s="1"/>
  <c r="AJ14" i="16" s="1"/>
  <c r="I25" i="16"/>
  <c r="J13" i="16"/>
  <c r="M13" i="16" s="1"/>
  <c r="P13" i="16" s="1"/>
  <c r="S13" i="16" s="1"/>
  <c r="V13" i="16" s="1"/>
  <c r="Y13" i="16" s="1"/>
  <c r="AB13" i="16" s="1"/>
  <c r="AE13" i="16" s="1"/>
  <c r="AH13" i="16" s="1"/>
  <c r="AK13" i="16" s="1"/>
  <c r="J24" i="16"/>
  <c r="J14" i="16"/>
  <c r="M14" i="16" s="1"/>
  <c r="P14" i="16" s="1"/>
  <c r="S14" i="16" s="1"/>
  <c r="V14" i="16" s="1"/>
  <c r="Y14" i="16" s="1"/>
  <c r="AB14" i="16" s="1"/>
  <c r="AE14" i="16" s="1"/>
  <c r="AH14" i="16" s="1"/>
  <c r="AK14" i="16" s="1"/>
  <c r="J25" i="16"/>
  <c r="G15" i="16"/>
  <c r="K8" i="16"/>
  <c r="K14" i="16"/>
  <c r="N14" i="16" s="1"/>
  <c r="Q14" i="16" s="1"/>
  <c r="T14" i="16" s="1"/>
  <c r="W14" i="16" s="1"/>
  <c r="Z14" i="16" s="1"/>
  <c r="AC14" i="16" s="1"/>
  <c r="AF14" i="16" s="1"/>
  <c r="AI14" i="16" s="1"/>
  <c r="AL14" i="16" s="1"/>
  <c r="W8" i="16"/>
  <c r="AC8" i="16"/>
  <c r="F15" i="16"/>
  <c r="AG8" i="16"/>
  <c r="AK8" i="16"/>
  <c r="U8" i="16"/>
  <c r="Y8" i="16"/>
  <c r="M8" i="16"/>
  <c r="AA8" i="16"/>
  <c r="AE8" i="16"/>
  <c r="U20" i="10"/>
  <c r="T20" i="10"/>
  <c r="J8" i="16"/>
  <c r="L8" i="16"/>
  <c r="N8" i="16"/>
  <c r="P8" i="16"/>
  <c r="R8" i="16"/>
  <c r="T8" i="16"/>
  <c r="V8" i="16"/>
  <c r="X8" i="16"/>
  <c r="Z8" i="16"/>
  <c r="AB8" i="16"/>
  <c r="AD8" i="16"/>
  <c r="AF8" i="16"/>
  <c r="AH8" i="16"/>
  <c r="O8" i="16"/>
  <c r="Q8" i="16"/>
  <c r="S8" i="16"/>
  <c r="AJ8" i="16"/>
  <c r="AL8" i="16"/>
  <c r="H8" i="10"/>
  <c r="K20" i="10"/>
  <c r="H27" i="10"/>
  <c r="G41" i="10"/>
  <c r="G48" i="10" s="1"/>
  <c r="G55" i="10" s="1"/>
  <c r="J34" i="10"/>
  <c r="I8" i="10"/>
  <c r="G116" i="10" s="1"/>
  <c r="F15" i="10"/>
  <c r="H115" i="10" s="1"/>
  <c r="I7" i="10"/>
  <c r="G108" i="10" s="1"/>
  <c r="F14" i="10"/>
  <c r="H107" i="10" s="1"/>
  <c r="J8" i="10"/>
  <c r="G15" i="10"/>
  <c r="J27" i="10"/>
  <c r="F34" i="10"/>
  <c r="K99" i="10" s="1"/>
  <c r="I27" i="10"/>
  <c r="J100" i="10" s="1"/>
  <c r="K15" i="16" l="1"/>
  <c r="J15" i="16"/>
  <c r="M15" i="16" s="1"/>
  <c r="P15" i="16" s="1"/>
  <c r="S15" i="16" s="1"/>
  <c r="V15" i="16" s="1"/>
  <c r="Y15" i="16" s="1"/>
  <c r="AB15" i="16" s="1"/>
  <c r="AE15" i="16" s="1"/>
  <c r="AH15" i="16" s="1"/>
  <c r="AK15" i="16" s="1"/>
  <c r="N15" i="16"/>
  <c r="Q15" i="16" s="1"/>
  <c r="T15" i="16" s="1"/>
  <c r="W15" i="16" s="1"/>
  <c r="Z15" i="16" s="1"/>
  <c r="AC15" i="16" s="1"/>
  <c r="AF15" i="16" s="1"/>
  <c r="AI15" i="16" s="1"/>
  <c r="AL15" i="16" s="1"/>
  <c r="T27" i="10"/>
  <c r="U27" i="10"/>
  <c r="U7" i="10"/>
  <c r="T7" i="10"/>
  <c r="U8" i="10"/>
  <c r="T8" i="10"/>
  <c r="K27" i="10"/>
  <c r="K8" i="10"/>
  <c r="G62" i="10"/>
  <c r="J55" i="10"/>
  <c r="F41" i="10"/>
  <c r="H34" i="10"/>
  <c r="H15" i="10"/>
  <c r="J48" i="10"/>
  <c r="F48" i="10"/>
  <c r="M99" i="10" s="1"/>
  <c r="J41" i="10"/>
  <c r="I34" i="10"/>
  <c r="K100" i="10" s="1"/>
  <c r="J15" i="10"/>
  <c r="G22" i="10"/>
  <c r="I14" i="10"/>
  <c r="H108" i="10" s="1"/>
  <c r="F21" i="10"/>
  <c r="I107" i="10" s="1"/>
  <c r="I15" i="10"/>
  <c r="H116" i="10" s="1"/>
  <c r="F22" i="10"/>
  <c r="I115" i="10" s="1"/>
  <c r="U34" i="10" l="1"/>
  <c r="T34" i="10"/>
  <c r="H41" i="10"/>
  <c r="L99" i="10"/>
  <c r="U15" i="10"/>
  <c r="T15" i="10"/>
  <c r="U14" i="10"/>
  <c r="T14" i="10"/>
  <c r="K15" i="10"/>
  <c r="I41" i="10"/>
  <c r="L100" i="10" s="1"/>
  <c r="K34" i="10"/>
  <c r="H22" i="10"/>
  <c r="G69" i="10"/>
  <c r="J62" i="10"/>
  <c r="H48" i="10"/>
  <c r="F55" i="10"/>
  <c r="N99" i="10" s="1"/>
  <c r="I48" i="10"/>
  <c r="M100" i="10" s="1"/>
  <c r="F29" i="10"/>
  <c r="J115" i="10" s="1"/>
  <c r="I22" i="10"/>
  <c r="I116" i="10" s="1"/>
  <c r="I21" i="10"/>
  <c r="I108" i="10" s="1"/>
  <c r="F28" i="10"/>
  <c r="J107" i="10" s="1"/>
  <c r="G29" i="10"/>
  <c r="G36" i="10" s="1"/>
  <c r="J22" i="10"/>
  <c r="U22" i="10" l="1"/>
  <c r="T22" i="10"/>
  <c r="U48" i="10"/>
  <c r="T48" i="10"/>
  <c r="U21" i="10"/>
  <c r="T21" i="10"/>
  <c r="U41" i="10"/>
  <c r="T41" i="10"/>
  <c r="H29" i="10"/>
  <c r="K48" i="10"/>
  <c r="K41" i="10"/>
  <c r="F35" i="10"/>
  <c r="K22" i="10"/>
  <c r="H55" i="10"/>
  <c r="F62" i="10"/>
  <c r="O99" i="10" s="1"/>
  <c r="I55" i="10"/>
  <c r="N100" i="10" s="1"/>
  <c r="G76" i="10"/>
  <c r="J69" i="10"/>
  <c r="G43" i="10"/>
  <c r="G50" i="10" s="1"/>
  <c r="J36" i="10"/>
  <c r="I29" i="10"/>
  <c r="J116" i="10" s="1"/>
  <c r="F36" i="10"/>
  <c r="K115" i="10" s="1"/>
  <c r="J29" i="10"/>
  <c r="I28" i="10"/>
  <c r="J108" i="10" s="1"/>
  <c r="I35" i="10" l="1"/>
  <c r="K107" i="10"/>
  <c r="U29" i="10"/>
  <c r="T29" i="10"/>
  <c r="U28" i="10"/>
  <c r="T28" i="10"/>
  <c r="T55" i="10"/>
  <c r="U55" i="10"/>
  <c r="U35" i="10"/>
  <c r="H36" i="10"/>
  <c r="G83" i="10"/>
  <c r="J76" i="10"/>
  <c r="H62" i="10"/>
  <c r="F69" i="10"/>
  <c r="P99" i="10" s="1"/>
  <c r="I62" i="10"/>
  <c r="O100" i="10" s="1"/>
  <c r="F42" i="10"/>
  <c r="L107" i="10" s="1"/>
  <c r="K29" i="10"/>
  <c r="G57" i="10"/>
  <c r="J50" i="10"/>
  <c r="K55" i="10"/>
  <c r="F43" i="10"/>
  <c r="L115" i="10" s="1"/>
  <c r="I36" i="10"/>
  <c r="K116" i="10" s="1"/>
  <c r="J43" i="10"/>
  <c r="T35" i="10" l="1"/>
  <c r="K108" i="10"/>
  <c r="U36" i="10"/>
  <c r="T36" i="10"/>
  <c r="U62" i="10"/>
  <c r="T62" i="10"/>
  <c r="K36" i="10"/>
  <c r="F49" i="10"/>
  <c r="M107" i="10" s="1"/>
  <c r="H43" i="10"/>
  <c r="I42" i="10"/>
  <c r="L108" i="10" s="1"/>
  <c r="K62" i="10"/>
  <c r="H69" i="10"/>
  <c r="F76" i="10"/>
  <c r="Q99" i="10" s="1"/>
  <c r="I69" i="10"/>
  <c r="P100" i="10" s="1"/>
  <c r="J83" i="10"/>
  <c r="G64" i="10"/>
  <c r="J57" i="10"/>
  <c r="I43" i="10"/>
  <c r="L116" i="10" s="1"/>
  <c r="F50" i="10"/>
  <c r="M115" i="10" s="1"/>
  <c r="AC9" i="2"/>
  <c r="AC10" i="2"/>
  <c r="AC12" i="2"/>
  <c r="AC13" i="2"/>
  <c r="AC14" i="2"/>
  <c r="U54" i="2"/>
  <c r="U56" i="2" s="1"/>
  <c r="U53" i="2"/>
  <c r="U52" i="2"/>
  <c r="G54" i="2"/>
  <c r="E28" i="53" s="1"/>
  <c r="I54" i="2"/>
  <c r="K54" i="2"/>
  <c r="M54" i="2"/>
  <c r="O54" i="2"/>
  <c r="Q54" i="2"/>
  <c r="S54" i="2"/>
  <c r="W54" i="2"/>
  <c r="W56" i="2" s="1"/>
  <c r="Y54" i="2"/>
  <c r="Y56" i="2" s="1"/>
  <c r="AA54" i="2"/>
  <c r="AA56" i="2" s="1"/>
  <c r="E54" i="2"/>
  <c r="C28" i="53" s="1"/>
  <c r="M52" i="2"/>
  <c r="K30" i="2"/>
  <c r="K32" i="2" s="1"/>
  <c r="K52" i="2"/>
  <c r="I53" i="2"/>
  <c r="G53" i="2"/>
  <c r="E27" i="53" s="1"/>
  <c r="G52" i="2"/>
  <c r="D8" i="10"/>
  <c r="AB30" i="2"/>
  <c r="AB32" i="2" s="1"/>
  <c r="E52" i="2"/>
  <c r="O52" i="2"/>
  <c r="Q52" i="2"/>
  <c r="S52" i="2"/>
  <c r="W52" i="2"/>
  <c r="Y52" i="2"/>
  <c r="AA52" i="2"/>
  <c r="O53" i="2"/>
  <c r="Y53" i="2"/>
  <c r="I30" i="2"/>
  <c r="I32" i="2" s="1"/>
  <c r="M30" i="2"/>
  <c r="M32" i="2" s="1"/>
  <c r="O30" i="2"/>
  <c r="O32" i="2" s="1"/>
  <c r="W30" i="2"/>
  <c r="W32" i="2" s="1"/>
  <c r="Y30" i="2"/>
  <c r="AA30" i="2"/>
  <c r="N29" i="2"/>
  <c r="D54" i="2"/>
  <c r="F54" i="2"/>
  <c r="D28" i="53" s="1"/>
  <c r="H54" i="2"/>
  <c r="D53" i="2"/>
  <c r="B27" i="53" s="1"/>
  <c r="F53" i="2"/>
  <c r="D27" i="53" s="1"/>
  <c r="H53" i="2"/>
  <c r="H56" i="2" s="1"/>
  <c r="D29" i="2"/>
  <c r="H29" i="2"/>
  <c r="J54" i="2"/>
  <c r="L54" i="2"/>
  <c r="N54" i="2"/>
  <c r="P54" i="2"/>
  <c r="R54" i="2"/>
  <c r="T54" i="2"/>
  <c r="V54" i="2"/>
  <c r="X54" i="2"/>
  <c r="Z54" i="2"/>
  <c r="J53" i="2"/>
  <c r="J56" i="2" s="1"/>
  <c r="L53" i="2"/>
  <c r="L56" i="2" s="1"/>
  <c r="N53" i="2"/>
  <c r="N56" i="2" s="1"/>
  <c r="P53" i="2"/>
  <c r="P56" i="2" s="1"/>
  <c r="R53" i="2"/>
  <c r="R56" i="2" s="1"/>
  <c r="T53" i="2"/>
  <c r="T56" i="2" s="1"/>
  <c r="V53" i="2"/>
  <c r="V56" i="2" s="1"/>
  <c r="X53" i="2"/>
  <c r="X56" i="2" s="1"/>
  <c r="J29" i="2"/>
  <c r="L29" i="2"/>
  <c r="P29" i="2"/>
  <c r="R29" i="2"/>
  <c r="T29" i="2"/>
  <c r="V29" i="2"/>
  <c r="X29" i="2"/>
  <c r="Z29" i="2"/>
  <c r="L26" i="2"/>
  <c r="H26" i="2"/>
  <c r="E55" i="2"/>
  <c r="U55" i="2"/>
  <c r="J25" i="2"/>
  <c r="D25" i="2"/>
  <c r="N25" i="2"/>
  <c r="L25" i="2"/>
  <c r="X25" i="2"/>
  <c r="R25" i="2"/>
  <c r="AC15" i="2"/>
  <c r="T30" i="2"/>
  <c r="D9" i="10" l="1"/>
  <c r="D65" i="10" s="1"/>
  <c r="B28" i="53"/>
  <c r="F56" i="2"/>
  <c r="L32" i="2"/>
  <c r="L31" i="2"/>
  <c r="C9" i="10"/>
  <c r="C72" i="10" s="1"/>
  <c r="D56" i="2"/>
  <c r="H32" i="2"/>
  <c r="H31" i="2"/>
  <c r="T43" i="10"/>
  <c r="U43" i="10"/>
  <c r="U69" i="10"/>
  <c r="T69" i="10"/>
  <c r="T42" i="10"/>
  <c r="U42" i="10"/>
  <c r="G9" i="10"/>
  <c r="J9" i="10" s="1"/>
  <c r="O56" i="2"/>
  <c r="G56" i="2"/>
  <c r="I56" i="2"/>
  <c r="C86" i="10"/>
  <c r="D79" i="10"/>
  <c r="E8" i="10"/>
  <c r="D85" i="10"/>
  <c r="D71" i="10"/>
  <c r="D57" i="10"/>
  <c r="D43" i="10"/>
  <c r="D29" i="10"/>
  <c r="D78" i="10"/>
  <c r="D64" i="10"/>
  <c r="D50" i="10"/>
  <c r="D36" i="10"/>
  <c r="K43" i="10"/>
  <c r="I49" i="10"/>
  <c r="M108" i="10" s="1"/>
  <c r="F56" i="10"/>
  <c r="N107" i="10" s="1"/>
  <c r="H50" i="10"/>
  <c r="F57" i="10"/>
  <c r="N115" i="10" s="1"/>
  <c r="G71" i="10"/>
  <c r="J64" i="10"/>
  <c r="K69" i="10"/>
  <c r="F83" i="10"/>
  <c r="R99" i="10" s="1"/>
  <c r="I76" i="10"/>
  <c r="Q100" i="10" s="1"/>
  <c r="H76" i="10"/>
  <c r="Z26" i="2"/>
  <c r="R26" i="2"/>
  <c r="AC24" i="2"/>
  <c r="AC43" i="2"/>
  <c r="H30" i="2"/>
  <c r="AC44" i="2"/>
  <c r="H25" i="2"/>
  <c r="Z25" i="2"/>
  <c r="F25" i="2"/>
  <c r="N30" i="2"/>
  <c r="D30" i="2"/>
  <c r="B16" i="53" s="1"/>
  <c r="P30" i="2"/>
  <c r="V30" i="2"/>
  <c r="F26" i="2"/>
  <c r="D26" i="2"/>
  <c r="B15" i="53" s="1"/>
  <c r="V26" i="2"/>
  <c r="AC27" i="2"/>
  <c r="AC28" i="2"/>
  <c r="P26" i="2"/>
  <c r="N26" i="2"/>
  <c r="AB24" i="2"/>
  <c r="AB28" i="2"/>
  <c r="X27" i="2"/>
  <c r="R27" i="2"/>
  <c r="L27" i="2"/>
  <c r="Z27" i="2"/>
  <c r="Z53" i="2"/>
  <c r="Z56" i="2" s="1"/>
  <c r="F30" i="2"/>
  <c r="D16" i="53" s="1"/>
  <c r="F29" i="2"/>
  <c r="N27" i="2"/>
  <c r="U30" i="2"/>
  <c r="U32" i="2" s="1"/>
  <c r="G30" i="2"/>
  <c r="D22" i="10"/>
  <c r="D15" i="10"/>
  <c r="AC42" i="2"/>
  <c r="I50" i="10"/>
  <c r="M116" i="10" s="1"/>
  <c r="Z30" i="2"/>
  <c r="V25" i="2"/>
  <c r="T25" i="2"/>
  <c r="L30" i="2"/>
  <c r="J26" i="2"/>
  <c r="E30" i="2"/>
  <c r="AC29" i="2"/>
  <c r="AC26" i="2"/>
  <c r="AC25" i="2"/>
  <c r="T26" i="2"/>
  <c r="T27" i="2"/>
  <c r="P27" i="2"/>
  <c r="J30" i="2"/>
  <c r="J27" i="2"/>
  <c r="V27" i="2"/>
  <c r="AC40" i="2"/>
  <c r="AC39" i="2"/>
  <c r="H27" i="2"/>
  <c r="F27" i="2"/>
  <c r="D27" i="2"/>
  <c r="X26" i="2"/>
  <c r="D7" i="10"/>
  <c r="AC41" i="2"/>
  <c r="AC11" i="2"/>
  <c r="AC17" i="2" s="1"/>
  <c r="AB41" i="2"/>
  <c r="AB39" i="2"/>
  <c r="E53" i="2"/>
  <c r="S53" i="2"/>
  <c r="S56" i="2" s="1"/>
  <c r="AB42" i="2"/>
  <c r="AB40" i="2"/>
  <c r="AA53" i="2"/>
  <c r="W53" i="2"/>
  <c r="Q55" i="2"/>
  <c r="Q53" i="2"/>
  <c r="Q56" i="2" s="1"/>
  <c r="K53" i="2"/>
  <c r="K56" i="2" s="1"/>
  <c r="I52" i="2"/>
  <c r="M55" i="2"/>
  <c r="M53" i="2"/>
  <c r="M56" i="2" s="1"/>
  <c r="K55" i="2"/>
  <c r="G55" i="2"/>
  <c r="O55" i="2"/>
  <c r="W55" i="2"/>
  <c r="D39" i="2"/>
  <c r="D41" i="2"/>
  <c r="AA55" i="2"/>
  <c r="Y55" i="2"/>
  <c r="S55" i="2"/>
  <c r="AB43" i="2"/>
  <c r="D6" i="10" s="1"/>
  <c r="D42" i="2"/>
  <c r="AC53" i="2"/>
  <c r="D40" i="2"/>
  <c r="B9" i="53" s="1"/>
  <c r="AC54" i="2"/>
  <c r="AC56" i="2" s="1"/>
  <c r="D16" i="10" l="1"/>
  <c r="D23" i="10"/>
  <c r="D58" i="10"/>
  <c r="D30" i="10"/>
  <c r="D86" i="10"/>
  <c r="D44" i="10"/>
  <c r="D72" i="10"/>
  <c r="D51" i="10"/>
  <c r="D37" i="10"/>
  <c r="F9" i="10"/>
  <c r="G123" i="10" s="1"/>
  <c r="C27" i="53"/>
  <c r="E32" i="2"/>
  <c r="C16" i="53"/>
  <c r="G32" i="2"/>
  <c r="E16" i="53"/>
  <c r="D15" i="53"/>
  <c r="D9" i="53"/>
  <c r="C16" i="10"/>
  <c r="C23" i="10"/>
  <c r="C37" i="10"/>
  <c r="C30" i="10"/>
  <c r="F63" i="10"/>
  <c r="O107" i="10" s="1"/>
  <c r="C65" i="10"/>
  <c r="C58" i="10"/>
  <c r="E9" i="10"/>
  <c r="E86" i="10" s="1"/>
  <c r="C51" i="10"/>
  <c r="C79" i="10"/>
  <c r="C44" i="10"/>
  <c r="C6" i="10"/>
  <c r="C83" i="10" s="1"/>
  <c r="AB45" i="2"/>
  <c r="T32" i="2"/>
  <c r="T31" i="2"/>
  <c r="N31" i="2"/>
  <c r="N32" i="2"/>
  <c r="V31" i="2"/>
  <c r="V32" i="2"/>
  <c r="F31" i="2"/>
  <c r="F32" i="2"/>
  <c r="R31" i="2"/>
  <c r="R32" i="2"/>
  <c r="X32" i="2"/>
  <c r="X31" i="2"/>
  <c r="AC31" i="2"/>
  <c r="J31" i="2"/>
  <c r="J32" i="2"/>
  <c r="P32" i="2"/>
  <c r="P31" i="2"/>
  <c r="D32" i="2"/>
  <c r="D31" i="2"/>
  <c r="Z31" i="2"/>
  <c r="Z32" i="2"/>
  <c r="AC16" i="2"/>
  <c r="G16" i="10"/>
  <c r="J16" i="10" s="1"/>
  <c r="U50" i="10"/>
  <c r="T50" i="10"/>
  <c r="U76" i="10"/>
  <c r="T76" i="10"/>
  <c r="T49" i="10"/>
  <c r="U49" i="10"/>
  <c r="AC45" i="2"/>
  <c r="E56" i="2"/>
  <c r="D83" i="10"/>
  <c r="D69" i="10"/>
  <c r="D55" i="10"/>
  <c r="D41" i="10"/>
  <c r="D27" i="10"/>
  <c r="D76" i="10"/>
  <c r="D62" i="10"/>
  <c r="D48" i="10"/>
  <c r="D34" i="10"/>
  <c r="E7" i="10"/>
  <c r="D77" i="10"/>
  <c r="D63" i="10"/>
  <c r="D49" i="10"/>
  <c r="D35" i="10"/>
  <c r="D84" i="10"/>
  <c r="D70" i="10"/>
  <c r="D56" i="10"/>
  <c r="D42" i="10"/>
  <c r="D28" i="10"/>
  <c r="E78" i="10"/>
  <c r="E64" i="10"/>
  <c r="E50" i="10"/>
  <c r="E36" i="10"/>
  <c r="E85" i="10"/>
  <c r="E71" i="10"/>
  <c r="E57" i="10"/>
  <c r="E43" i="10"/>
  <c r="E29" i="10"/>
  <c r="K50" i="10"/>
  <c r="I56" i="10"/>
  <c r="N108" i="10" s="1"/>
  <c r="K76" i="10"/>
  <c r="H83" i="10"/>
  <c r="B98" i="10" s="1"/>
  <c r="I83" i="10"/>
  <c r="R100" i="10" s="1"/>
  <c r="G78" i="10"/>
  <c r="J71" i="10"/>
  <c r="H57" i="10"/>
  <c r="F64" i="10"/>
  <c r="O115" i="10" s="1"/>
  <c r="I57" i="10"/>
  <c r="N116" i="10" s="1"/>
  <c r="G7" i="10"/>
  <c r="E22" i="10"/>
  <c r="E15" i="10"/>
  <c r="D21" i="10"/>
  <c r="D14" i="10"/>
  <c r="AC30" i="2"/>
  <c r="AC32" i="2" s="1"/>
  <c r="R30" i="2"/>
  <c r="X30" i="2"/>
  <c r="P25" i="2"/>
  <c r="AC55" i="2"/>
  <c r="AC52" i="2"/>
  <c r="Z42" i="2"/>
  <c r="V42" i="2"/>
  <c r="F42" i="2"/>
  <c r="H42" i="2"/>
  <c r="L42" i="2"/>
  <c r="P42" i="2"/>
  <c r="T42" i="2"/>
  <c r="X42" i="2"/>
  <c r="J42" i="2"/>
  <c r="N42" i="2"/>
  <c r="R42" i="2"/>
  <c r="D20" i="10"/>
  <c r="D13" i="10"/>
  <c r="D10" i="10"/>
  <c r="I55" i="2"/>
  <c r="Z40" i="2"/>
  <c r="L40" i="2"/>
  <c r="P40" i="2"/>
  <c r="T40" i="2"/>
  <c r="R40" i="2"/>
  <c r="V40" i="2"/>
  <c r="H40" i="2"/>
  <c r="X40" i="2"/>
  <c r="F40" i="2"/>
  <c r="J40" i="2"/>
  <c r="N40" i="2"/>
  <c r="X41" i="2"/>
  <c r="F41" i="2"/>
  <c r="H41" i="2"/>
  <c r="J41" i="2"/>
  <c r="Z41" i="2"/>
  <c r="L41" i="2"/>
  <c r="P41" i="2"/>
  <c r="T41" i="2"/>
  <c r="N41" i="2"/>
  <c r="R41" i="2"/>
  <c r="V41" i="2"/>
  <c r="N39" i="2"/>
  <c r="H39" i="2"/>
  <c r="P39" i="2"/>
  <c r="R39" i="2"/>
  <c r="X39" i="2"/>
  <c r="L39" i="2"/>
  <c r="F39" i="2"/>
  <c r="J39" i="2"/>
  <c r="T39" i="2"/>
  <c r="V39" i="2"/>
  <c r="Z39" i="2"/>
  <c r="F16" i="10"/>
  <c r="H123" i="10" s="1"/>
  <c r="F10" i="10"/>
  <c r="I9" i="10"/>
  <c r="G124" i="10" s="1"/>
  <c r="D43" i="2"/>
  <c r="E23" i="10" l="1"/>
  <c r="H9" i="10"/>
  <c r="D45" i="2"/>
  <c r="B10" i="53"/>
  <c r="F70" i="10"/>
  <c r="P107" i="10" s="1"/>
  <c r="E44" i="10"/>
  <c r="C10" i="10"/>
  <c r="C24" i="10" s="1"/>
  <c r="E51" i="10"/>
  <c r="C48" i="10"/>
  <c r="C20" i="10"/>
  <c r="E6" i="10"/>
  <c r="E76" i="10" s="1"/>
  <c r="E79" i="10"/>
  <c r="E72" i="10"/>
  <c r="C41" i="10"/>
  <c r="I63" i="10"/>
  <c r="O108" i="10" s="1"/>
  <c r="C13" i="10"/>
  <c r="E16" i="10"/>
  <c r="E37" i="10"/>
  <c r="E65" i="10"/>
  <c r="E30" i="10"/>
  <c r="E58" i="10"/>
  <c r="C76" i="10"/>
  <c r="C69" i="10"/>
  <c r="C34" i="10"/>
  <c r="C62" i="10"/>
  <c r="C27" i="10"/>
  <c r="C55" i="10"/>
  <c r="D24" i="10"/>
  <c r="D17" i="10"/>
  <c r="G23" i="10"/>
  <c r="J23" i="10" s="1"/>
  <c r="U9" i="10"/>
  <c r="T9" i="10"/>
  <c r="U57" i="10"/>
  <c r="T57" i="10"/>
  <c r="T83" i="10"/>
  <c r="U83" i="10"/>
  <c r="U56" i="10"/>
  <c r="T56" i="10"/>
  <c r="C66" i="10"/>
  <c r="D87" i="10"/>
  <c r="D73" i="10"/>
  <c r="D59" i="10"/>
  <c r="D45" i="10"/>
  <c r="D31" i="10"/>
  <c r="D80" i="10"/>
  <c r="D66" i="10"/>
  <c r="D52" i="10"/>
  <c r="D38" i="10"/>
  <c r="E84" i="10"/>
  <c r="E70" i="10"/>
  <c r="E56" i="10"/>
  <c r="E42" i="10"/>
  <c r="E28" i="10"/>
  <c r="E77" i="10"/>
  <c r="E63" i="10"/>
  <c r="E49" i="10"/>
  <c r="E35" i="10"/>
  <c r="K57" i="10"/>
  <c r="H7" i="10"/>
  <c r="H16" i="10"/>
  <c r="G85" i="10"/>
  <c r="J85" i="10" s="1"/>
  <c r="J78" i="10"/>
  <c r="I70" i="10"/>
  <c r="P108" i="10" s="1"/>
  <c r="K83" i="10"/>
  <c r="H64" i="10"/>
  <c r="F71" i="10"/>
  <c r="P115" i="10" s="1"/>
  <c r="I64" i="10"/>
  <c r="O116" i="10" s="1"/>
  <c r="I10" i="10"/>
  <c r="K9" i="10"/>
  <c r="AB25" i="2"/>
  <c r="AB31" i="2" s="1"/>
  <c r="E14" i="10"/>
  <c r="E21" i="10"/>
  <c r="J7" i="10"/>
  <c r="K7" i="10" s="1"/>
  <c r="G14" i="10"/>
  <c r="G10" i="10"/>
  <c r="H10" i="10" s="1"/>
  <c r="F17" i="10"/>
  <c r="I16" i="10"/>
  <c r="H124" i="10" s="1"/>
  <c r="F23" i="10"/>
  <c r="I123" i="10" s="1"/>
  <c r="X43" i="2"/>
  <c r="N43" i="2"/>
  <c r="F43" i="2"/>
  <c r="D10" i="53" s="1"/>
  <c r="H43" i="2"/>
  <c r="J43" i="2"/>
  <c r="Z43" i="2"/>
  <c r="L43" i="2"/>
  <c r="P43" i="2"/>
  <c r="R43" i="2"/>
  <c r="T43" i="2"/>
  <c r="V43" i="2"/>
  <c r="F77" i="10" l="1"/>
  <c r="Q107" i="10" s="1"/>
  <c r="E10" i="10"/>
  <c r="E17" i="10" s="1"/>
  <c r="E41" i="10"/>
  <c r="C73" i="10"/>
  <c r="E34" i="10"/>
  <c r="C45" i="10"/>
  <c r="C38" i="10"/>
  <c r="U63" i="10"/>
  <c r="C17" i="10"/>
  <c r="E20" i="10"/>
  <c r="E69" i="10"/>
  <c r="E62" i="10"/>
  <c r="C31" i="10"/>
  <c r="C59" i="10"/>
  <c r="C87" i="10"/>
  <c r="C52" i="10"/>
  <c r="C80" i="10"/>
  <c r="E13" i="10"/>
  <c r="E27" i="10"/>
  <c r="E55" i="10"/>
  <c r="E83" i="10"/>
  <c r="E48" i="10"/>
  <c r="T63" i="10"/>
  <c r="G30" i="10"/>
  <c r="G37" i="10" s="1"/>
  <c r="G44" i="10" s="1"/>
  <c r="G51" i="10" s="1"/>
  <c r="E24" i="10"/>
  <c r="U64" i="10"/>
  <c r="T64" i="10"/>
  <c r="U16" i="10"/>
  <c r="T16" i="10"/>
  <c r="U10" i="10"/>
  <c r="T10" i="10"/>
  <c r="U70" i="10"/>
  <c r="T70" i="10"/>
  <c r="H14" i="10"/>
  <c r="G21" i="10"/>
  <c r="E66" i="10"/>
  <c r="E38" i="10"/>
  <c r="E73" i="10"/>
  <c r="E45" i="10"/>
  <c r="K64" i="10"/>
  <c r="I17" i="10"/>
  <c r="K16" i="10"/>
  <c r="F84" i="10"/>
  <c r="R107" i="10" s="1"/>
  <c r="H23" i="10"/>
  <c r="H71" i="10"/>
  <c r="F78" i="10"/>
  <c r="I71" i="10"/>
  <c r="P116" i="10" s="1"/>
  <c r="J10" i="10"/>
  <c r="K10" i="10" s="1"/>
  <c r="J14" i="10"/>
  <c r="K14" i="10" s="1"/>
  <c r="G17" i="10"/>
  <c r="H17" i="10" s="1"/>
  <c r="H45" i="2"/>
  <c r="F45" i="2"/>
  <c r="J45" i="2"/>
  <c r="L45" i="2"/>
  <c r="P45" i="2"/>
  <c r="Z45" i="2"/>
  <c r="N45" i="2"/>
  <c r="R45" i="2"/>
  <c r="V45" i="2"/>
  <c r="T45" i="2"/>
  <c r="X45" i="2"/>
  <c r="I23" i="10"/>
  <c r="I124" i="10" s="1"/>
  <c r="F30" i="10"/>
  <c r="J123" i="10" s="1"/>
  <c r="F24" i="10"/>
  <c r="E31" i="10" l="1"/>
  <c r="E59" i="10"/>
  <c r="E87" i="10"/>
  <c r="E52" i="10"/>
  <c r="E80" i="10"/>
  <c r="I77" i="10"/>
  <c r="Q108" i="10" s="1"/>
  <c r="J30" i="10"/>
  <c r="J37" i="10"/>
  <c r="J44" i="10"/>
  <c r="Q115" i="10"/>
  <c r="H78" i="10"/>
  <c r="U23" i="10"/>
  <c r="T23" i="10"/>
  <c r="U17" i="10"/>
  <c r="T17" i="10"/>
  <c r="U71" i="10"/>
  <c r="T71" i="10"/>
  <c r="U77" i="10"/>
  <c r="H21" i="10"/>
  <c r="J21" i="10"/>
  <c r="G28" i="10"/>
  <c r="G24" i="10"/>
  <c r="H24" i="10" s="1"/>
  <c r="K23" i="10"/>
  <c r="K71" i="10"/>
  <c r="F85" i="10"/>
  <c r="R115" i="10" s="1"/>
  <c r="I78" i="10"/>
  <c r="Q116" i="10" s="1"/>
  <c r="F37" i="10"/>
  <c r="K123" i="10" s="1"/>
  <c r="H30" i="10"/>
  <c r="I84" i="10"/>
  <c r="R108" i="10" s="1"/>
  <c r="G58" i="10"/>
  <c r="J51" i="10"/>
  <c r="J17" i="10"/>
  <c r="K17" i="10" s="1"/>
  <c r="I30" i="10"/>
  <c r="J124" i="10" s="1"/>
  <c r="F31" i="10"/>
  <c r="I24" i="10"/>
  <c r="T77" i="10" l="1"/>
  <c r="U24" i="10"/>
  <c r="T24" i="10"/>
  <c r="U84" i="10"/>
  <c r="T84" i="10"/>
  <c r="U30" i="10"/>
  <c r="T30" i="10"/>
  <c r="U78" i="10"/>
  <c r="T78" i="10"/>
  <c r="H28" i="10"/>
  <c r="J28" i="10"/>
  <c r="G35" i="10"/>
  <c r="G31" i="10"/>
  <c r="H31" i="10" s="1"/>
  <c r="K21" i="10"/>
  <c r="J24" i="10"/>
  <c r="K24" i="10" s="1"/>
  <c r="K78" i="10"/>
  <c r="I37" i="10"/>
  <c r="K124" i="10" s="1"/>
  <c r="I31" i="10"/>
  <c r="K30" i="10"/>
  <c r="F44" i="10"/>
  <c r="L123" i="10" s="1"/>
  <c r="H37" i="10"/>
  <c r="H85" i="10"/>
  <c r="B100" i="10" s="1"/>
  <c r="I85" i="10"/>
  <c r="R116" i="10" s="1"/>
  <c r="F38" i="10"/>
  <c r="G65" i="10"/>
  <c r="J58" i="10"/>
  <c r="U85" i="10" l="1"/>
  <c r="T85" i="10"/>
  <c r="I38" i="10"/>
  <c r="U37" i="10"/>
  <c r="T37" i="10"/>
  <c r="U31" i="10"/>
  <c r="T31" i="10"/>
  <c r="H35" i="10"/>
  <c r="J35" i="10"/>
  <c r="G38" i="10"/>
  <c r="H38" i="10" s="1"/>
  <c r="G42" i="10"/>
  <c r="K28" i="10"/>
  <c r="J31" i="10"/>
  <c r="K85" i="10"/>
  <c r="K31" i="10"/>
  <c r="K37" i="10"/>
  <c r="H44" i="10"/>
  <c r="F51" i="10"/>
  <c r="M123" i="10" s="1"/>
  <c r="F45" i="10"/>
  <c r="I44" i="10"/>
  <c r="L124" i="10" s="1"/>
  <c r="G72" i="10"/>
  <c r="J65" i="10"/>
  <c r="U44" i="10" l="1"/>
  <c r="T44" i="10"/>
  <c r="T38" i="10"/>
  <c r="U38" i="10"/>
  <c r="G49" i="10"/>
  <c r="G45" i="10"/>
  <c r="H45" i="10" s="1"/>
  <c r="H42" i="10"/>
  <c r="J42" i="10"/>
  <c r="K35" i="10"/>
  <c r="J38" i="10"/>
  <c r="K38" i="10" s="1"/>
  <c r="G79" i="10"/>
  <c r="J72" i="10"/>
  <c r="K44" i="10"/>
  <c r="I45" i="10"/>
  <c r="H51" i="10"/>
  <c r="F58" i="10"/>
  <c r="N123" i="10" s="1"/>
  <c r="I51" i="10"/>
  <c r="M124" i="10" s="1"/>
  <c r="F52" i="10"/>
  <c r="U51" i="10" l="1"/>
  <c r="T51" i="10"/>
  <c r="U45" i="10"/>
  <c r="T45" i="10"/>
  <c r="J49" i="10"/>
  <c r="H49" i="10"/>
  <c r="G56" i="10"/>
  <c r="G52" i="10"/>
  <c r="H52" i="10" s="1"/>
  <c r="K42" i="10"/>
  <c r="J45" i="10"/>
  <c r="K45" i="10" s="1"/>
  <c r="K51" i="10"/>
  <c r="I52" i="10"/>
  <c r="G86" i="10"/>
  <c r="J86" i="10" s="1"/>
  <c r="J79" i="10"/>
  <c r="H58" i="10"/>
  <c r="F65" i="10"/>
  <c r="O123" i="10" s="1"/>
  <c r="I58" i="10"/>
  <c r="N124" i="10" s="1"/>
  <c r="F59" i="10"/>
  <c r="U58" i="10" l="1"/>
  <c r="T58" i="10"/>
  <c r="U52" i="10"/>
  <c r="T52" i="10"/>
  <c r="G63" i="10"/>
  <c r="G59" i="10"/>
  <c r="H59" i="10" s="1"/>
  <c r="J56" i="10"/>
  <c r="H56" i="10"/>
  <c r="J52" i="10"/>
  <c r="K52" i="10" s="1"/>
  <c r="K49" i="10"/>
  <c r="F72" i="10"/>
  <c r="P123" i="10" s="1"/>
  <c r="H65" i="10"/>
  <c r="I65" i="10"/>
  <c r="O124" i="10" s="1"/>
  <c r="F66" i="10"/>
  <c r="K58" i="10"/>
  <c r="I59" i="10"/>
  <c r="U59" i="10" l="1"/>
  <c r="T59" i="10"/>
  <c r="U65" i="10"/>
  <c r="T65" i="10"/>
  <c r="J59" i="10"/>
  <c r="K59" i="10" s="1"/>
  <c r="K56" i="10"/>
  <c r="G70" i="10"/>
  <c r="G66" i="10"/>
  <c r="H66" i="10" s="1"/>
  <c r="J63" i="10"/>
  <c r="H63" i="10"/>
  <c r="K65" i="10"/>
  <c r="I66" i="10"/>
  <c r="F79" i="10"/>
  <c r="Q123" i="10" s="1"/>
  <c r="H72" i="10"/>
  <c r="I72" i="10"/>
  <c r="P124" i="10" s="1"/>
  <c r="F73" i="10"/>
  <c r="T72" i="10" l="1"/>
  <c r="U72" i="10"/>
  <c r="T66" i="10"/>
  <c r="U66" i="10"/>
  <c r="K63" i="10"/>
  <c r="J66" i="10"/>
  <c r="K66" i="10" s="1"/>
  <c r="J70" i="10"/>
  <c r="H70" i="10"/>
  <c r="G77" i="10"/>
  <c r="G73" i="10"/>
  <c r="H73" i="10" s="1"/>
  <c r="K72" i="10"/>
  <c r="I73" i="10"/>
  <c r="F86" i="10"/>
  <c r="R123" i="10" s="1"/>
  <c r="I79" i="10"/>
  <c r="Q124" i="10" s="1"/>
  <c r="F80" i="10"/>
  <c r="H79" i="10"/>
  <c r="U79" i="10" l="1"/>
  <c r="T79" i="10"/>
  <c r="U73" i="10"/>
  <c r="T73" i="10"/>
  <c r="G84" i="10"/>
  <c r="G80" i="10"/>
  <c r="H80" i="10" s="1"/>
  <c r="H77" i="10"/>
  <c r="J77" i="10"/>
  <c r="K70" i="10"/>
  <c r="J73" i="10"/>
  <c r="K73" i="10" s="1"/>
  <c r="H86" i="10"/>
  <c r="B101" i="10" s="1"/>
  <c r="I86" i="10"/>
  <c r="R124" i="10" s="1"/>
  <c r="F87" i="10"/>
  <c r="K79" i="10"/>
  <c r="I80" i="10"/>
  <c r="U86" i="10" l="1"/>
  <c r="T86" i="10"/>
  <c r="U80" i="10"/>
  <c r="T80" i="10"/>
  <c r="J84" i="10"/>
  <c r="H84" i="10"/>
  <c r="B99" i="10" s="1"/>
  <c r="G87" i="10"/>
  <c r="H87" i="10" s="1"/>
  <c r="B102" i="10" s="1"/>
  <c r="J80" i="10"/>
  <c r="K80" i="10" s="1"/>
  <c r="K77" i="10"/>
  <c r="K86" i="10"/>
  <c r="I87" i="10"/>
  <c r="U87" i="10" l="1"/>
  <c r="T87" i="10"/>
  <c r="K84" i="10"/>
  <c r="J87" i="10"/>
  <c r="K87" i="10" s="1"/>
  <c r="G68" i="5"/>
  <c r="Q66" i="5"/>
  <c r="Q68" i="5" s="1"/>
  <c r="G71" i="5"/>
  <c r="H71" i="5" s="1"/>
  <c r="I71" i="5" s="1"/>
  <c r="J71" i="5" s="1"/>
  <c r="K71" i="5" s="1"/>
  <c r="L71" i="5" s="1"/>
  <c r="M71" i="5" s="1"/>
  <c r="N71" i="5" s="1"/>
  <c r="O71" i="5" s="1"/>
  <c r="P71" i="5" s="1"/>
  <c r="G73" i="5"/>
  <c r="I6" i="16"/>
  <c r="I24" i="16" l="1"/>
  <c r="H73" i="5"/>
  <c r="G32" i="48"/>
  <c r="I9" i="16"/>
  <c r="I16" i="16" s="1"/>
  <c r="L16" i="16" s="1"/>
  <c r="O16" i="16" s="1"/>
  <c r="R16" i="16" s="1"/>
  <c r="U16" i="16" s="1"/>
  <c r="X16" i="16" s="1"/>
  <c r="AA16" i="16" s="1"/>
  <c r="AD16" i="16" s="1"/>
  <c r="AG16" i="16" s="1"/>
  <c r="AJ16" i="16" s="1"/>
  <c r="G30" i="48"/>
  <c r="O6" i="24"/>
  <c r="E6" i="24"/>
  <c r="E11" i="24" s="1"/>
  <c r="F11" i="24" s="1"/>
  <c r="G11" i="24" s="1"/>
  <c r="H11" i="24" s="1"/>
  <c r="I11" i="24" s="1"/>
  <c r="J11" i="24" s="1"/>
  <c r="K11" i="24" s="1"/>
  <c r="L11" i="24" s="1"/>
  <c r="M11" i="24" s="1"/>
  <c r="N11" i="24" s="1"/>
  <c r="E9" i="24"/>
  <c r="F9" i="24" s="1"/>
  <c r="G9" i="24" s="1"/>
  <c r="H9" i="24" s="1"/>
  <c r="I9" i="24" s="1"/>
  <c r="J9" i="24" s="1"/>
  <c r="K9" i="24" s="1"/>
  <c r="L9" i="24" s="1"/>
  <c r="M9" i="24" s="1"/>
  <c r="N9" i="24" s="1"/>
  <c r="I8" i="16"/>
  <c r="I15" i="16" s="1"/>
  <c r="L15" i="16" s="1"/>
  <c r="O15" i="16" s="1"/>
  <c r="R15" i="16" s="1"/>
  <c r="U15" i="16" s="1"/>
  <c r="X15" i="16" s="1"/>
  <c r="AA15" i="16" s="1"/>
  <c r="AD15" i="16" s="1"/>
  <c r="AG15" i="16" s="1"/>
  <c r="AJ15" i="16" s="1"/>
  <c r="I13" i="16"/>
  <c r="L13" i="16" s="1"/>
  <c r="O13" i="16" s="1"/>
  <c r="R13" i="16" s="1"/>
  <c r="U13" i="16" s="1"/>
  <c r="X13" i="16" s="1"/>
  <c r="AA13" i="16" s="1"/>
  <c r="AD13" i="16" s="1"/>
  <c r="AG13" i="16" s="1"/>
  <c r="AJ13" i="16" s="1"/>
  <c r="E10" i="24"/>
  <c r="F10" i="24" s="1"/>
  <c r="G10" i="24" s="1"/>
  <c r="H10" i="24" s="1"/>
  <c r="I10" i="24" s="1"/>
  <c r="J10" i="24" s="1"/>
  <c r="K10" i="24" s="1"/>
  <c r="L10" i="24" s="1"/>
  <c r="M10" i="24" s="1"/>
  <c r="N10" i="24" s="1"/>
  <c r="Q30" i="48" l="1"/>
  <c r="E16" i="50"/>
  <c r="E18" i="50" s="1"/>
  <c r="E4" i="50"/>
  <c r="E6" i="50" s="1"/>
  <c r="E19" i="50"/>
  <c r="E21" i="50" s="1"/>
  <c r="E7" i="50"/>
  <c r="E9" i="50" s="1"/>
  <c r="I73" i="5"/>
  <c r="H32" i="48"/>
  <c r="F19" i="50" l="1"/>
  <c r="F21" i="50" s="1"/>
  <c r="F7" i="50"/>
  <c r="F9" i="50" s="1"/>
  <c r="J73" i="5"/>
  <c r="I32" i="48"/>
  <c r="G19" i="50" l="1"/>
  <c r="G21" i="50" s="1"/>
  <c r="G7" i="50"/>
  <c r="G9" i="50" s="1"/>
  <c r="K73" i="5"/>
  <c r="J32" i="48"/>
  <c r="H19" i="50" l="1"/>
  <c r="H21" i="50" s="1"/>
  <c r="H7" i="50"/>
  <c r="H9" i="50" s="1"/>
  <c r="L73" i="5"/>
  <c r="K32" i="48"/>
  <c r="I19" i="50" l="1"/>
  <c r="I21" i="50" s="1"/>
  <c r="I7" i="50"/>
  <c r="I9" i="50" s="1"/>
  <c r="M73" i="5"/>
  <c r="L32" i="48"/>
  <c r="J7" i="50" l="1"/>
  <c r="J9" i="50" s="1"/>
  <c r="J19" i="50"/>
  <c r="J21" i="50" s="1"/>
  <c r="N73" i="5"/>
  <c r="M32" i="48"/>
  <c r="K19" i="50" l="1"/>
  <c r="K21" i="50" s="1"/>
  <c r="K7" i="50"/>
  <c r="K9" i="50" s="1"/>
  <c r="O73" i="5"/>
  <c r="N32" i="48"/>
  <c r="L7" i="50" l="1"/>
  <c r="L9" i="50" s="1"/>
  <c r="L19" i="50"/>
  <c r="L21" i="50" s="1"/>
  <c r="P73" i="5"/>
  <c r="P32" i="48" s="1"/>
  <c r="O32" i="48"/>
  <c r="M19" i="50" l="1"/>
  <c r="M21" i="50" s="1"/>
  <c r="M7" i="50"/>
  <c r="M9" i="50" s="1"/>
  <c r="N19" i="50"/>
  <c r="N21" i="50" s="1"/>
  <c r="N7" i="50"/>
  <c r="N9" i="50" s="1"/>
  <c r="J9" i="53"/>
  <c r="J10" i="53"/>
  <c r="J8" i="53" l="1"/>
</calcChain>
</file>

<file path=xl/sharedStrings.xml><?xml version="1.0" encoding="utf-8"?>
<sst xmlns="http://schemas.openxmlformats.org/spreadsheetml/2006/main" count="12913" uniqueCount="2080">
  <si>
    <t>Code</t>
  </si>
  <si>
    <t>Contrat</t>
  </si>
  <si>
    <t>Dimension</t>
  </si>
  <si>
    <t>TOTAL</t>
  </si>
  <si>
    <t>Cumul</t>
  </si>
  <si>
    <t>Réel</t>
  </si>
  <si>
    <t>VFLI</t>
  </si>
  <si>
    <t>Ballast VFLI</t>
  </si>
  <si>
    <t>Nb de trains vides fact.</t>
  </si>
  <si>
    <t>Nb de trains chargés</t>
  </si>
  <si>
    <t>Tonnage</t>
  </si>
  <si>
    <t>Montant hors pénalité - en €</t>
  </si>
  <si>
    <t>Pénalité faute VFLI</t>
  </si>
  <si>
    <t>Pénalité faute donneur d'ordre</t>
  </si>
  <si>
    <t>Montant - en €</t>
  </si>
  <si>
    <t>Tonnage / Trains</t>
  </si>
  <si>
    <t>Cout € /T</t>
  </si>
  <si>
    <t>Géoparts</t>
  </si>
  <si>
    <t>NB de camions</t>
  </si>
  <si>
    <t>Tonnage / Camions</t>
  </si>
  <si>
    <t>Achat rendu</t>
  </si>
  <si>
    <t>OFI</t>
  </si>
  <si>
    <t>Nb de wagons chargés</t>
  </si>
  <si>
    <t>Montant part fixe</t>
  </si>
  <si>
    <t>Montant part variable</t>
  </si>
  <si>
    <t>Tonnage / wgs</t>
  </si>
  <si>
    <t>Budget</t>
  </si>
  <si>
    <t>Accostage</t>
  </si>
  <si>
    <t>FRET</t>
  </si>
  <si>
    <t>Janvier</t>
  </si>
  <si>
    <t>Février</t>
  </si>
  <si>
    <t>Mars</t>
  </si>
  <si>
    <t>Avril</t>
  </si>
  <si>
    <t>Mai</t>
  </si>
  <si>
    <t>Juin</t>
  </si>
  <si>
    <t>Juillet</t>
  </si>
  <si>
    <t xml:space="preserve">Août </t>
  </si>
  <si>
    <t>Septembre</t>
  </si>
  <si>
    <t>Octobre</t>
  </si>
  <si>
    <t>Novembre</t>
  </si>
  <si>
    <t>Décembre</t>
  </si>
  <si>
    <t>GEOPARTS</t>
  </si>
  <si>
    <t>CTR</t>
  </si>
  <si>
    <t>SUD</t>
  </si>
  <si>
    <t>N-E</t>
  </si>
  <si>
    <t>N-O</t>
  </si>
  <si>
    <t>Intitulé</t>
  </si>
  <si>
    <t>Nombre CTR</t>
  </si>
  <si>
    <t>CTR non close</t>
  </si>
  <si>
    <t>% CTR non close</t>
  </si>
  <si>
    <t>CTR annulées</t>
  </si>
  <si>
    <t xml:space="preserve">CTR refusées </t>
  </si>
  <si>
    <t>CTR en défaut</t>
  </si>
  <si>
    <t>Contre proposition</t>
  </si>
  <si>
    <t>Autre (fournisseur)</t>
  </si>
  <si>
    <t>Total</t>
  </si>
  <si>
    <t>Pénalité faute FRET</t>
  </si>
  <si>
    <t>FRET commande + socle</t>
  </si>
  <si>
    <t>Ballast GEOPARTS</t>
  </si>
  <si>
    <t>MONTABARD</t>
  </si>
  <si>
    <t>THOUARS</t>
  </si>
  <si>
    <t>MONTROND</t>
  </si>
  <si>
    <t>MACON</t>
  </si>
  <si>
    <t>EP ROY</t>
  </si>
  <si>
    <t>RAON</t>
  </si>
  <si>
    <t>Août</t>
  </si>
  <si>
    <t>Fer</t>
  </si>
  <si>
    <t xml:space="preserve">Route </t>
  </si>
  <si>
    <t>LUZY</t>
  </si>
  <si>
    <t>GIROMAGNY</t>
  </si>
  <si>
    <t>VAUVELLE</t>
  </si>
  <si>
    <t>SURDON</t>
  </si>
  <si>
    <t>CUSSET</t>
  </si>
  <si>
    <t>EPIRY</t>
  </si>
  <si>
    <t>BAGNAC</t>
  </si>
  <si>
    <t>COURZIEU</t>
  </si>
  <si>
    <t>CARRIERES</t>
  </si>
  <si>
    <t>Types</t>
  </si>
  <si>
    <t>Tonne / D12</t>
  </si>
  <si>
    <t>Réalisé</t>
  </si>
  <si>
    <t>Reste à faire</t>
  </si>
  <si>
    <t>Reste à faire (B)</t>
  </si>
  <si>
    <t>Accostage (A) + (B)</t>
  </si>
  <si>
    <t>€/T</t>
  </si>
  <si>
    <t xml:space="preserve">Tonne </t>
  </si>
  <si>
    <t>total</t>
  </si>
  <si>
    <t>Prevision au 01/01</t>
  </si>
  <si>
    <t>REPARTITION PAR BASSIN</t>
  </si>
  <si>
    <t>FER</t>
  </si>
  <si>
    <t>ROUTE</t>
  </si>
  <si>
    <t>BASSIN</t>
  </si>
  <si>
    <t>NORD OUEST</t>
  </si>
  <si>
    <t>Intitule</t>
  </si>
  <si>
    <t>JUIN</t>
  </si>
  <si>
    <t>JUILLET</t>
  </si>
  <si>
    <t>Cumul Fer / Route</t>
  </si>
  <si>
    <t xml:space="preserve">Total Route </t>
  </si>
  <si>
    <t>Volume Ballast 2016</t>
  </si>
  <si>
    <t>Total Fer</t>
  </si>
  <si>
    <t>CF ou HCF</t>
  </si>
  <si>
    <t>NomSource</t>
  </si>
  <si>
    <t>NomWagon</t>
  </si>
  <si>
    <t>commentaire wagons</t>
  </si>
  <si>
    <t>LibelleModeTransport</t>
  </si>
  <si>
    <t>Commentaire</t>
  </si>
  <si>
    <t>CodeC6</t>
  </si>
  <si>
    <t>chantier</t>
  </si>
  <si>
    <t>Prix</t>
  </si>
  <si>
    <t>Gare</t>
  </si>
  <si>
    <t>Libellé région</t>
  </si>
  <si>
    <t>CodePDP</t>
  </si>
  <si>
    <t>Libellé projet</t>
  </si>
  <si>
    <t>Code ligne</t>
  </si>
  <si>
    <t>PK Début</t>
  </si>
  <si>
    <t>PK Fin</t>
  </si>
  <si>
    <t>Nature travaux</t>
  </si>
  <si>
    <t>Code programme</t>
  </si>
  <si>
    <t>Programme Technique Finalité</t>
  </si>
  <si>
    <t>Type Opération</t>
  </si>
  <si>
    <t>Date début projet</t>
  </si>
  <si>
    <t>Date fin projet</t>
  </si>
  <si>
    <t>Nom chef de projet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</si>
  <si>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</si>
  <si>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</si>
  <si>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</si>
  <si>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</si>
  <si>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</si>
  <si>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</si>
  <si>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</si>
  <si>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</si>
  <si>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</si>
  <si>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</si>
  <si>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</si>
  <si>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</si>
  <si>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</si>
  <si>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</si>
  <si>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</si>
  <si>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</si>
  <si>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</si>
  <si>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</si>
  <si>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</si>
  <si>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</si>
  <si>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</si>
  <si>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</si>
  <si>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</si>
  <si>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</si>
  <si>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</si>
  <si>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</si>
  <si>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</si>
  <si>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</si>
  <si>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</si>
  <si>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</si>
  <si>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</si>
  <si>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</si>
  <si>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</si>
  <si>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</si>
  <si>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</si>
  <si>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</si>
  <si>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</si>
  <si>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</si>
  <si>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</si>
  <si>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</si>
  <si>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</si>
  <si>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</si>
  <si>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</si>
  <si>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</si>
  <si>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</si>
  <si>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</si>
  <si>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</si>
  <si>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</si>
  <si>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</si>
  <si>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</si>
  <si>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</si>
  <si>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</si>
  <si>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</si>
  <si>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NE</t>
  </si>
  <si>
    <t>Giromagny</t>
  </si>
  <si>
    <t>F28</t>
  </si>
  <si>
    <t>FER OFI</t>
  </si>
  <si>
    <t>F42650</t>
  </si>
  <si>
    <t>SR LOT2 A GAUTHIER</t>
  </si>
  <si>
    <t>Cronembourg</t>
  </si>
  <si>
    <t>STRASBOURG</t>
  </si>
  <si>
    <t>L05160BALRC</t>
  </si>
  <si>
    <t>SR2/2016 - Alsace L70000 + L115000</t>
  </si>
  <si>
    <t>70000</t>
  </si>
  <si>
    <t>455+708</t>
  </si>
  <si>
    <t>490+860</t>
  </si>
  <si>
    <t>Opérations ne relevant pas des autres familles</t>
  </si>
  <si>
    <t/>
  </si>
  <si>
    <t>Opération sur UIC 1à6 hors LGV relevant de la SR rend&gt;900ml/j</t>
  </si>
  <si>
    <t>Opérations Individualisées</t>
  </si>
  <si>
    <t>03/10/2016</t>
  </si>
  <si>
    <t>10/12/2016</t>
  </si>
  <si>
    <t>JEANPETIT</t>
  </si>
  <si>
    <t>D12</t>
  </si>
  <si>
    <t>SR LOT2 (HS) A GAUTHIER</t>
  </si>
  <si>
    <t>Haubergen</t>
  </si>
  <si>
    <t>C12</t>
  </si>
  <si>
    <t>dm ok</t>
  </si>
  <si>
    <t>F43097</t>
  </si>
  <si>
    <t>RVB, RR + RAV Brt Koenigshoffen</t>
  </si>
  <si>
    <t>138000</t>
  </si>
  <si>
    <t>005+000</t>
  </si>
  <si>
    <t>008+850</t>
  </si>
  <si>
    <t>Renouvellement total ou partiel d'AdV UIC 1à6</t>
  </si>
  <si>
    <t>28/02/2016</t>
  </si>
  <si>
    <t>PIERRON</t>
  </si>
  <si>
    <t>strasbourg</t>
  </si>
  <si>
    <t>F41679</t>
  </si>
  <si>
    <t>Riedisheim</t>
  </si>
  <si>
    <t>RAV Mulhouse Dornach Rixheim</t>
  </si>
  <si>
    <t>115000</t>
  </si>
  <si>
    <t>107+000</t>
  </si>
  <si>
    <t>109+800</t>
  </si>
  <si>
    <t>JARTY</t>
  </si>
  <si>
    <t>H CF</t>
  </si>
  <si>
    <t>Delle</t>
  </si>
  <si>
    <t>Meroux</t>
  </si>
  <si>
    <t>Total Giromagny</t>
  </si>
  <si>
    <t>La Vauvelle</t>
  </si>
  <si>
    <t>FER (achat rendu)</t>
  </si>
  <si>
    <t>F29871</t>
  </si>
  <si>
    <t>Dijon</t>
  </si>
  <si>
    <t>DIJON</t>
  </si>
  <si>
    <t>Previsions 2015 incluses dans previsions du F41453_RVB Secteur Dijon - Gevrey</t>
  </si>
  <si>
    <t>830900</t>
  </si>
  <si>
    <t>315+530</t>
  </si>
  <si>
    <t>318+540</t>
  </si>
  <si>
    <t>Opérations de tous Gr UIC relevant des AO semestriels</t>
  </si>
  <si>
    <t>LAMARCHE</t>
  </si>
  <si>
    <t>FER FRET</t>
  </si>
  <si>
    <t>F42346</t>
  </si>
  <si>
    <t>Laroche Migennes</t>
  </si>
  <si>
    <t>PARIS SUD EST</t>
  </si>
  <si>
    <t>GOP PSE 2016 AVP</t>
  </si>
  <si>
    <t>830000</t>
  </si>
  <si>
    <t>113+675</t>
  </si>
  <si>
    <t>154+069</t>
  </si>
  <si>
    <t>Renouvellement complet (rails, traverses, ballast ou appareil de voie)</t>
  </si>
  <si>
    <t>04/01/2016</t>
  </si>
  <si>
    <t>01/04/2016</t>
  </si>
  <si>
    <t>LUCAS</t>
  </si>
  <si>
    <t>à confirmer par le chantier</t>
  </si>
  <si>
    <t>St Florentin</t>
  </si>
  <si>
    <t>FER (achat rendu) reprise OFI</t>
  </si>
  <si>
    <t>F43160</t>
  </si>
  <si>
    <t>RB LN1 G GIANNOTTI</t>
  </si>
  <si>
    <t>Montchanin</t>
  </si>
  <si>
    <t>L05160BALLGV</t>
  </si>
  <si>
    <t>RB LN1 2016 + 2 Remplacement d'AD</t>
  </si>
  <si>
    <t>752000</t>
  </si>
  <si>
    <t>252+000</t>
  </si>
  <si>
    <t>295+000</t>
  </si>
  <si>
    <t>Renouvellement total ou partiel sur LGV</t>
  </si>
  <si>
    <t>22/08/2016</t>
  </si>
  <si>
    <t>16/12/2016</t>
  </si>
  <si>
    <t>GILLERON</t>
  </si>
  <si>
    <t>F43168</t>
  </si>
  <si>
    <t>SR LOT2  HORS SUITE</t>
  </si>
  <si>
    <t>SR2 / 2017 - RVB Montereau / Saint Florentin</t>
  </si>
  <si>
    <t>086+713</t>
  </si>
  <si>
    <t>173+762</t>
  </si>
  <si>
    <t>16/01/2017</t>
  </si>
  <si>
    <t>18/08/2017</t>
  </si>
  <si>
    <t>VETTORELLO BOREL</t>
  </si>
  <si>
    <t xml:space="preserve">SR LOT2  </t>
  </si>
  <si>
    <t>F30416</t>
  </si>
  <si>
    <t>Nuits sur armancon</t>
  </si>
  <si>
    <t>Tx RAV et RB AdV (report 2016)</t>
  </si>
  <si>
    <t>232+978</t>
  </si>
  <si>
    <t>F41796</t>
  </si>
  <si>
    <t>Verneuil l'étang</t>
  </si>
  <si>
    <t>PARIS EST</t>
  </si>
  <si>
    <t>PELICAN + Voie : RAV Nogent le Perreux</t>
  </si>
  <si>
    <t>1000</t>
  </si>
  <si>
    <t>015+186</t>
  </si>
  <si>
    <t>015+832</t>
  </si>
  <si>
    <t>29/03/2016</t>
  </si>
  <si>
    <t>17/06/2016</t>
  </si>
  <si>
    <t>DELRUE</t>
  </si>
  <si>
    <t>F41397</t>
  </si>
  <si>
    <t>SR Zone Dense K RAPHOZ</t>
  </si>
  <si>
    <t>F43632</t>
  </si>
  <si>
    <t>Montereau</t>
  </si>
  <si>
    <t>RAV Moret</t>
  </si>
  <si>
    <t>064+297</t>
  </si>
  <si>
    <t>067+900</t>
  </si>
  <si>
    <t>PERRIN</t>
  </si>
  <si>
    <t>VFF55200</t>
  </si>
  <si>
    <t>CHP G GIANNOTTI</t>
  </si>
  <si>
    <t>Migennes</t>
  </si>
  <si>
    <t>Tournan</t>
  </si>
  <si>
    <t>Total la Vauvelle</t>
  </si>
  <si>
    <t>Luzy</t>
  </si>
  <si>
    <t>F42404</t>
  </si>
  <si>
    <t>CHP T FINON</t>
  </si>
  <si>
    <t>entre Nevers et Cosne</t>
  </si>
  <si>
    <t>CLERMONT-FERRAND</t>
  </si>
  <si>
    <t>Travaux 2016 Voie 2 Garchizy/Nevers</t>
  </si>
  <si>
    <t>750000</t>
  </si>
  <si>
    <t>243+570</t>
  </si>
  <si>
    <t>251+899</t>
  </si>
  <si>
    <t>Plusieurs natures de travaux</t>
  </si>
  <si>
    <t>Renouvellement total ou partiel sur UIC 1à 6 ne relevant pas des SR ou CSR</t>
  </si>
  <si>
    <t>01/01/2016</t>
  </si>
  <si>
    <t>31/03/2016</t>
  </si>
  <si>
    <t>TAVIOT</t>
  </si>
  <si>
    <t>F43822</t>
  </si>
  <si>
    <t>Bois le Roi</t>
  </si>
  <si>
    <t>RAV Comm V1/V2 et V2/V1, app 41a, 401b, 402a et 402b</t>
  </si>
  <si>
    <t>056+000</t>
  </si>
  <si>
    <t>056+750</t>
  </si>
  <si>
    <t>F44062</t>
  </si>
  <si>
    <t>Reims</t>
  </si>
  <si>
    <t>REIMS</t>
  </si>
  <si>
    <t>RVB, RT Mod, RAV</t>
  </si>
  <si>
    <t>81000</t>
  </si>
  <si>
    <t>222+900</t>
  </si>
  <si>
    <t>223+100</t>
  </si>
  <si>
    <t>01/07/2016</t>
  </si>
  <si>
    <t>ARSENE</t>
  </si>
  <si>
    <t>PLKD747/E20010</t>
  </si>
  <si>
    <t>Valenton</t>
  </si>
  <si>
    <t>F28 ou C12</t>
  </si>
  <si>
    <t>PFA Dole</t>
  </si>
  <si>
    <t>Total luzy</t>
  </si>
  <si>
    <t>Epiry</t>
  </si>
  <si>
    <t>F44057</t>
  </si>
  <si>
    <t>RB Voie 1 St Mammés - 2016</t>
  </si>
  <si>
    <t>068+000</t>
  </si>
  <si>
    <t>076+500</t>
  </si>
  <si>
    <t>30/05/2016</t>
  </si>
  <si>
    <t>FRUITIERE</t>
  </si>
  <si>
    <t>FER (achat rendu) reprise FRET</t>
  </si>
  <si>
    <t>Corbeil</t>
  </si>
  <si>
    <t xml:space="preserve">Villeneuve </t>
  </si>
  <si>
    <t>F43772</t>
  </si>
  <si>
    <t>Valenton, Sucy Bonneuil</t>
  </si>
  <si>
    <t>RAV Valenton + RAV Sucy + RVB</t>
  </si>
  <si>
    <t>990000</t>
  </si>
  <si>
    <t>076+852</t>
  </si>
  <si>
    <t>079+700</t>
  </si>
  <si>
    <t>Opérations Non Individualisées</t>
  </si>
  <si>
    <t>IMBAULT</t>
  </si>
  <si>
    <t>F42415</t>
  </si>
  <si>
    <t>Gevrey</t>
  </si>
  <si>
    <t>RAV Gevrey</t>
  </si>
  <si>
    <t>LANDROT</t>
  </si>
  <si>
    <t>meme chantier que F41397</t>
  </si>
  <si>
    <t>IN5001</t>
  </si>
  <si>
    <t>Corbeil Essonnes</t>
  </si>
  <si>
    <t>RVB Grigny Corbeil sur 9186m</t>
  </si>
  <si>
    <t>000+177</t>
  </si>
  <si>
    <t>010+697</t>
  </si>
  <si>
    <t>18/07/2016</t>
  </si>
  <si>
    <t>François DUPONT</t>
  </si>
  <si>
    <t>FER (achat rendu) CFR</t>
  </si>
  <si>
    <t>PFA St Florentin</t>
  </si>
  <si>
    <t>Total Epiry</t>
  </si>
  <si>
    <t xml:space="preserve"> </t>
  </si>
  <si>
    <t>Pont de Colonne</t>
  </si>
  <si>
    <t>F31345</t>
  </si>
  <si>
    <t>la cour d'arcenay</t>
  </si>
  <si>
    <t>St clément</t>
  </si>
  <si>
    <t>Total Pont de Colonne</t>
  </si>
  <si>
    <t>Raon</t>
  </si>
  <si>
    <t>de S17 à S23 et 1/2 jusqu'à S25</t>
  </si>
  <si>
    <t>Mulhouse Dornach</t>
  </si>
  <si>
    <t>F42423</t>
  </si>
  <si>
    <t>SR LOT3 F SERGI</t>
  </si>
  <si>
    <t>Onville</t>
  </si>
  <si>
    <t>METZ-NANCY</t>
  </si>
  <si>
    <t>RVB</t>
  </si>
  <si>
    <t>095000</t>
  </si>
  <si>
    <t>000+001</t>
  </si>
  <si>
    <t>70.+000</t>
  </si>
  <si>
    <t>A</t>
  </si>
  <si>
    <t>31/12/2016</t>
  </si>
  <si>
    <t>Jeanpetit</t>
  </si>
  <si>
    <t>F42747</t>
  </si>
  <si>
    <t>Jarville</t>
  </si>
  <si>
    <t>RVB Jarville Neuves Maisons</t>
  </si>
  <si>
    <t>204000</t>
  </si>
  <si>
    <t>228</t>
  </si>
  <si>
    <t>270</t>
  </si>
  <si>
    <t>30/09/2016</t>
  </si>
  <si>
    <t>PIERSON</t>
  </si>
  <si>
    <t>report 2017</t>
  </si>
  <si>
    <t>F42873</t>
  </si>
  <si>
    <t>SARREGUEMINES</t>
  </si>
  <si>
    <t>RVB Voies A et B</t>
  </si>
  <si>
    <t>163000</t>
  </si>
  <si>
    <t>000+000</t>
  </si>
  <si>
    <t>000+290</t>
  </si>
  <si>
    <t>Limité en principe aux Gr UIC 5à9</t>
  </si>
  <si>
    <t>01/01/2015</t>
  </si>
  <si>
    <t>FOLLINI</t>
  </si>
  <si>
    <t>F43719</t>
  </si>
  <si>
    <t>Longuyon</t>
  </si>
  <si>
    <t>RVB Viaduc de Knutange, RB tunnel de Mercy, RB/RT , RVB V2 gare de Thionville</t>
  </si>
  <si>
    <t>229+200</t>
  </si>
  <si>
    <t>266+496</t>
  </si>
  <si>
    <t>22/03/2016</t>
  </si>
  <si>
    <t>changement possible vu avec PLE (mail du 18/12)</t>
  </si>
  <si>
    <t>Route</t>
  </si>
  <si>
    <t>Audun</t>
  </si>
  <si>
    <t>F44088</t>
  </si>
  <si>
    <t>Chaumont</t>
  </si>
  <si>
    <t>RVB du Viaduc de Chaumont</t>
  </si>
  <si>
    <t>001000</t>
  </si>
  <si>
    <t>260+419</t>
  </si>
  <si>
    <t>261+150</t>
  </si>
  <si>
    <t>27/06/2016</t>
  </si>
  <si>
    <t>16/10/2016</t>
  </si>
  <si>
    <t>ROBERT</t>
  </si>
  <si>
    <t>F44120</t>
  </si>
  <si>
    <t>Woippy</t>
  </si>
  <si>
    <t>RAV Woippy</t>
  </si>
  <si>
    <t>180000</t>
  </si>
  <si>
    <t>161+400</t>
  </si>
  <si>
    <t>171+750</t>
  </si>
  <si>
    <t>04/07/2016</t>
  </si>
  <si>
    <t>F37084</t>
  </si>
  <si>
    <t>NOISY</t>
  </si>
  <si>
    <t>Report 2014=&gt; 2016 - RB BS 23ka, 23kb, TJ 29/30 +RVB V1 V2</t>
  </si>
  <si>
    <t>059+100</t>
  </si>
  <si>
    <t>061+100</t>
  </si>
  <si>
    <t>23/08/2014</t>
  </si>
  <si>
    <t>28/09/2014</t>
  </si>
  <si>
    <t>F41123</t>
  </si>
  <si>
    <t>Paris Est</t>
  </si>
  <si>
    <t>2016 : 2600m de RVB, 7 RAV, 2 déposes</t>
  </si>
  <si>
    <t>BRIALIX JPIERRE</t>
  </si>
  <si>
    <t>fourniture et pose</t>
  </si>
  <si>
    <t>F44317</t>
  </si>
  <si>
    <t>CHP K RAPHOZ</t>
  </si>
  <si>
    <t>Chelles-Vaires</t>
  </si>
  <si>
    <t>Aménagement Base Travaux de Chelles-Vaires pour SR Zones Denses</t>
  </si>
  <si>
    <t>018+500</t>
  </si>
  <si>
    <t>022+400</t>
  </si>
  <si>
    <t>DUPONT</t>
  </si>
  <si>
    <t>F40977</t>
  </si>
  <si>
    <t>Charmes</t>
  </si>
  <si>
    <t>Epinal</t>
  </si>
  <si>
    <t>F30301</t>
  </si>
  <si>
    <t>Château thierry</t>
  </si>
  <si>
    <t>RB+RT voie 1 courbe Saint Faron</t>
  </si>
  <si>
    <t>070000</t>
  </si>
  <si>
    <t>044+370</t>
  </si>
  <si>
    <t>045+371</t>
  </si>
  <si>
    <t>15/02/2016</t>
  </si>
  <si>
    <t>18/03/2016</t>
  </si>
  <si>
    <t>F37090</t>
  </si>
  <si>
    <t>F31502</t>
  </si>
  <si>
    <t>Belfort</t>
  </si>
  <si>
    <t>F41597</t>
  </si>
  <si>
    <t>Ville en vermois</t>
  </si>
  <si>
    <t xml:space="preserve">attention wagons conservés + 1 mois </t>
  </si>
  <si>
    <t>Blainville</t>
  </si>
  <si>
    <t>VFF15445</t>
  </si>
  <si>
    <t>Lizy sur Ourcq</t>
  </si>
  <si>
    <t xml:space="preserve">St Hilaire </t>
  </si>
  <si>
    <t>Pagny/Moselle</t>
  </si>
  <si>
    <t>Reding</t>
  </si>
  <si>
    <t>Besançon TGV</t>
  </si>
  <si>
    <t>PFA Blainville</t>
  </si>
  <si>
    <t>PFA Haubergen</t>
  </si>
  <si>
    <t>C12 ou F28</t>
  </si>
  <si>
    <t>PFA Reims</t>
  </si>
  <si>
    <t>Total Raon</t>
  </si>
  <si>
    <t>NO</t>
  </si>
  <si>
    <t>Lessines/Quenast</t>
  </si>
  <si>
    <t>BARGE</t>
  </si>
  <si>
    <t>F42836</t>
  </si>
  <si>
    <t>CHP A GAUTHIER</t>
  </si>
  <si>
    <t>REVIN</t>
  </si>
  <si>
    <t>Report 2016 - 4ème tranche de mod du tronçon Charleville Givet</t>
  </si>
  <si>
    <t>205000</t>
  </si>
  <si>
    <t>171+000</t>
  </si>
  <si>
    <t>179+000</t>
  </si>
  <si>
    <t>europorte</t>
  </si>
  <si>
    <t>F41846</t>
  </si>
  <si>
    <t>CREIL</t>
  </si>
  <si>
    <t>PARIS NORD</t>
  </si>
  <si>
    <t>RAV CREIL 2016 2017</t>
  </si>
  <si>
    <t>272 00</t>
  </si>
  <si>
    <t>31/12/2017</t>
  </si>
  <si>
    <t>HERON</t>
  </si>
  <si>
    <t>F38488</t>
  </si>
  <si>
    <t>Tourcoing</t>
  </si>
  <si>
    <t>LILLE</t>
  </si>
  <si>
    <t>F41320</t>
  </si>
  <si>
    <t>SR LOT3 (HS) A GAUTHIER</t>
  </si>
  <si>
    <t>Lens</t>
  </si>
  <si>
    <t>SR3/2016 - RVB Lens / Don</t>
  </si>
  <si>
    <t>286000</t>
  </si>
  <si>
    <t>00.+202</t>
  </si>
  <si>
    <t>222+940</t>
  </si>
  <si>
    <t>B</t>
  </si>
  <si>
    <t>21/03/2016</t>
  </si>
  <si>
    <t>28/05/2016</t>
  </si>
  <si>
    <t>DELCAMBRE</t>
  </si>
  <si>
    <t>36 D12 S2 S21/2016</t>
  </si>
  <si>
    <t>F43176</t>
  </si>
  <si>
    <t>RB LN3 G GIANNOTTI</t>
  </si>
  <si>
    <t>Longueil</t>
  </si>
  <si>
    <t>RB LN3</t>
  </si>
  <si>
    <t>226000</t>
  </si>
  <si>
    <t>083+000</t>
  </si>
  <si>
    <t>109+700</t>
  </si>
  <si>
    <t>MARTEL</t>
  </si>
  <si>
    <t>Ressons</t>
  </si>
  <si>
    <t>F43175</t>
  </si>
  <si>
    <t>F41321/F41320/F43124</t>
  </si>
  <si>
    <t>SR LOT3 A GAUTHIER</t>
  </si>
  <si>
    <t>Pont à vendin</t>
  </si>
  <si>
    <t>SR3/2015 et 2016 RVB FIVES / HIRSON</t>
  </si>
  <si>
    <t>267000</t>
  </si>
  <si>
    <t>015+089</t>
  </si>
  <si>
    <t>108+176</t>
  </si>
  <si>
    <t>C</t>
  </si>
  <si>
    <t>14/09/2015</t>
  </si>
  <si>
    <t>13/04/2016</t>
  </si>
  <si>
    <t>Aulnoye</t>
  </si>
  <si>
    <t>E71</t>
  </si>
  <si>
    <t>F41474</t>
  </si>
  <si>
    <t>SR LOT3  F SERGI</t>
  </si>
  <si>
    <t>Longueau</t>
  </si>
  <si>
    <t>AMIENS</t>
  </si>
  <si>
    <t>SR3/2016 - Longueau /Tergnier</t>
  </si>
  <si>
    <t>261000</t>
  </si>
  <si>
    <t>005+390</t>
  </si>
  <si>
    <t>075+100</t>
  </si>
  <si>
    <t>17/10/2016</t>
  </si>
  <si>
    <t>17/02/2017</t>
  </si>
  <si>
    <t>F40356</t>
  </si>
  <si>
    <t>Voves</t>
  </si>
  <si>
    <t>F44102</t>
  </si>
  <si>
    <t>Boulogne</t>
  </si>
  <si>
    <t>F45239</t>
  </si>
  <si>
    <t xml:space="preserve">Lens </t>
  </si>
  <si>
    <t>PFA Creil</t>
  </si>
  <si>
    <t>PFA Pantin</t>
  </si>
  <si>
    <t>PFA Tergnier</t>
  </si>
  <si>
    <t>PFA Lille</t>
  </si>
  <si>
    <t>Total Lessines/Quenast</t>
  </si>
  <si>
    <t>Montabard</t>
  </si>
  <si>
    <t>annulé</t>
  </si>
  <si>
    <t>F39467</t>
  </si>
  <si>
    <t>RAV IPCS CREIL JEUMONT</t>
  </si>
  <si>
    <t>242000</t>
  </si>
  <si>
    <t>143+630</t>
  </si>
  <si>
    <t>171+710</t>
  </si>
  <si>
    <t>06/10/2016</t>
  </si>
  <si>
    <t>03/12/2016</t>
  </si>
  <si>
    <t>COILLE</t>
  </si>
  <si>
    <t>F39576</t>
  </si>
  <si>
    <t>Beaucourt - Miraumont</t>
  </si>
  <si>
    <t>Report 2016 - RB/RT + RR file Haute</t>
  </si>
  <si>
    <t>272000</t>
  </si>
  <si>
    <t>115+287</t>
  </si>
  <si>
    <t>170+800</t>
  </si>
  <si>
    <t>F32892</t>
  </si>
  <si>
    <t>Report 2016 - RVB RM + SM Aulnoye</t>
  </si>
  <si>
    <t>217+607</t>
  </si>
  <si>
    <t>219+259</t>
  </si>
  <si>
    <t>24/06/2013</t>
  </si>
  <si>
    <t>30/08/2013</t>
  </si>
  <si>
    <t>DETOURNE</t>
  </si>
  <si>
    <t>F32896</t>
  </si>
  <si>
    <t>CHP F SERGI</t>
  </si>
  <si>
    <t>Hazebrouck</t>
  </si>
  <si>
    <t>RAV des Appareils</t>
  </si>
  <si>
    <t>301000</t>
  </si>
  <si>
    <t>264+768</t>
  </si>
  <si>
    <t>265+970</t>
  </si>
  <si>
    <t>01/10/2014</t>
  </si>
  <si>
    <t>F35017</t>
  </si>
  <si>
    <t>Report 2016 - (ex SR2010) Raccordemant Ronchin RVB sur 3263 ml, RR sur 46 m</t>
  </si>
  <si>
    <t>273300</t>
  </si>
  <si>
    <t>003+726</t>
  </si>
  <si>
    <t>RGVOI</t>
  </si>
  <si>
    <t>08/10/2014</t>
  </si>
  <si>
    <t>F39431</t>
  </si>
  <si>
    <t>Le Havre</t>
  </si>
  <si>
    <t>ROUEN</t>
  </si>
  <si>
    <t>RAV et RVB en gare du Havre</t>
  </si>
  <si>
    <t>340000</t>
  </si>
  <si>
    <t>222+800</t>
  </si>
  <si>
    <t>227+900</t>
  </si>
  <si>
    <t>15/08/2016</t>
  </si>
  <si>
    <t>30/10/2016</t>
  </si>
  <si>
    <t>LOMBARDO</t>
  </si>
  <si>
    <t>F41495</t>
  </si>
  <si>
    <t>Racc de Ronchin - Part HS</t>
  </si>
  <si>
    <t>01/06/2016</t>
  </si>
  <si>
    <t>F42268</t>
  </si>
  <si>
    <t>RAV ORRY</t>
  </si>
  <si>
    <t>029+500</t>
  </si>
  <si>
    <t>040+000</t>
  </si>
  <si>
    <t>31/08/2016</t>
  </si>
  <si>
    <t>F42706</t>
  </si>
  <si>
    <t>Liesse</t>
  </si>
  <si>
    <t>RAV BIF DE LIESSE</t>
  </si>
  <si>
    <t>330000</t>
  </si>
  <si>
    <t>026+400</t>
  </si>
  <si>
    <t>029+000</t>
  </si>
  <si>
    <t>01/12/2016</t>
  </si>
  <si>
    <t>F43517</t>
  </si>
  <si>
    <t>Chaponval</t>
  </si>
  <si>
    <t>RVB + sous-couche Chaponval</t>
  </si>
  <si>
    <t>329000</t>
  </si>
  <si>
    <t>030+485</t>
  </si>
  <si>
    <t>031+100</t>
  </si>
  <si>
    <t>GARNIER</t>
  </si>
  <si>
    <t>F43871</t>
  </si>
  <si>
    <t>Sotteville les Rouen</t>
  </si>
  <si>
    <t>RVB VOIES 1S et 2S</t>
  </si>
  <si>
    <t>369000</t>
  </si>
  <si>
    <t>134+250</t>
  </si>
  <si>
    <t>135+520</t>
  </si>
  <si>
    <t>27/02/2016</t>
  </si>
  <si>
    <t>MONMERT</t>
  </si>
  <si>
    <t>F43973</t>
  </si>
  <si>
    <t>Persan Beaumont</t>
  </si>
  <si>
    <t>RVB Voies 4 et 6 de Persan</t>
  </si>
  <si>
    <t>045+595</t>
  </si>
  <si>
    <t>046+120</t>
  </si>
  <si>
    <t>19/06/2016</t>
  </si>
  <si>
    <t>CASIER</t>
  </si>
  <si>
    <t>SR LOT3 (HS) F SERGI</t>
  </si>
  <si>
    <t>Laon</t>
  </si>
  <si>
    <t>F44505</t>
  </si>
  <si>
    <t>Orrouy Glaignes</t>
  </si>
  <si>
    <t>RVB Orrouy Glaignes</t>
  </si>
  <si>
    <t>232000</t>
  </si>
  <si>
    <t>065+040</t>
  </si>
  <si>
    <t>065+975</t>
  </si>
  <si>
    <t>01/09/2016</t>
  </si>
  <si>
    <t>PLKM200/E19378</t>
  </si>
  <si>
    <t>Creil</t>
  </si>
  <si>
    <t>PFA Sotteville</t>
  </si>
  <si>
    <t>PFA Achères</t>
  </si>
  <si>
    <t>Total Montabard</t>
  </si>
  <si>
    <t>Fontaineriant</t>
  </si>
  <si>
    <t>F39059</t>
  </si>
  <si>
    <t>Montrouge</t>
  </si>
  <si>
    <t>PARIS RIVE GAUCHE</t>
  </si>
  <si>
    <t>Arrivée des LGV à PMP - F39059</t>
  </si>
  <si>
    <t>420000</t>
  </si>
  <si>
    <t>009+000</t>
  </si>
  <si>
    <t>02/09/2013</t>
  </si>
  <si>
    <t>01/06/2017</t>
  </si>
  <si>
    <t>GARIN</t>
  </si>
  <si>
    <t>F42581</t>
  </si>
  <si>
    <t>Ivry sur Seine</t>
  </si>
  <si>
    <t>Bonneuil</t>
  </si>
  <si>
    <t>F37905</t>
  </si>
  <si>
    <t>Chelles</t>
  </si>
  <si>
    <t>RAV Aig 2919b GAGNY</t>
  </si>
  <si>
    <t>991300</t>
  </si>
  <si>
    <t>015+000</t>
  </si>
  <si>
    <t>015+600</t>
  </si>
  <si>
    <t>F43705</t>
  </si>
  <si>
    <t>Sille le guillaume</t>
  </si>
  <si>
    <t>NANTES</t>
  </si>
  <si>
    <t>RAV + RVB Conlie Sillé 2016</t>
  </si>
  <si>
    <t>234+646</t>
  </si>
  <si>
    <t>246+341</t>
  </si>
  <si>
    <t>04/04/2016</t>
  </si>
  <si>
    <t>04/05/2016</t>
  </si>
  <si>
    <t>MAZERY</t>
  </si>
  <si>
    <t>Total Fontaineriant</t>
  </si>
  <si>
    <t>Surdon</t>
  </si>
  <si>
    <t>F37099</t>
  </si>
  <si>
    <t>Versailles Chantiers</t>
  </si>
  <si>
    <t>RVB Voies E et F de VCH</t>
  </si>
  <si>
    <t>016+400</t>
  </si>
  <si>
    <t>016+900</t>
  </si>
  <si>
    <t>LENGLET</t>
  </si>
  <si>
    <t>F32890</t>
  </si>
  <si>
    <t>Report 2014 =&gt; 2016 RVB + RT/Relevage</t>
  </si>
  <si>
    <t>263+720</t>
  </si>
  <si>
    <t>265+830</t>
  </si>
  <si>
    <t>F42708/F37962</t>
  </si>
  <si>
    <t>St Brieuc</t>
  </si>
  <si>
    <t>RENNES</t>
  </si>
  <si>
    <t>RVB HS  Plouaret-Guingamp + RB Plouaret-Lannion</t>
  </si>
  <si>
    <t>505+853</t>
  </si>
  <si>
    <t>513+744</t>
  </si>
  <si>
    <t>08/02/2016</t>
  </si>
  <si>
    <t>08/04/2016</t>
  </si>
  <si>
    <t>SCHMITT</t>
  </si>
  <si>
    <t>F39193</t>
  </si>
  <si>
    <t>REGROUPEMENT PSL</t>
  </si>
  <si>
    <t>Nezel</t>
  </si>
  <si>
    <t>PARIS ST LAZARE</t>
  </si>
  <si>
    <t>Report 2017 ? - RVB Nezel - Aulnay</t>
  </si>
  <si>
    <t>396000</t>
  </si>
  <si>
    <t>049+900</t>
  </si>
  <si>
    <t>050+420</t>
  </si>
  <si>
    <t>01/09/2014</t>
  </si>
  <si>
    <t>ACKERMANN</t>
  </si>
  <si>
    <t>F39198</t>
  </si>
  <si>
    <t>Achères - Houilles carrières</t>
  </si>
  <si>
    <t>RVB Bif Dieppe 2016</t>
  </si>
  <si>
    <t>014+818</t>
  </si>
  <si>
    <t>018+390</t>
  </si>
  <si>
    <t>F39940</t>
  </si>
  <si>
    <t>Santeuil-Le-Perché</t>
  </si>
  <si>
    <t>RVB Santeuil 2013</t>
  </si>
  <si>
    <t>040+800</t>
  </si>
  <si>
    <t>044+382</t>
  </si>
  <si>
    <t>27/08/2016</t>
  </si>
  <si>
    <t>F40026</t>
  </si>
  <si>
    <t>Levallois</t>
  </si>
  <si>
    <t>Report 2016 - RVB VS de Batignolles</t>
  </si>
  <si>
    <t>002+700</t>
  </si>
  <si>
    <t>003+050</t>
  </si>
  <si>
    <t>01/10/2015</t>
  </si>
  <si>
    <t>GAILLARD</t>
  </si>
  <si>
    <t>F40032</t>
  </si>
  <si>
    <t>Paris Saint Lazare</t>
  </si>
  <si>
    <t>RVB Cardinet</t>
  </si>
  <si>
    <t>973000</t>
  </si>
  <si>
    <t>000+750</t>
  </si>
  <si>
    <t>002+000</t>
  </si>
  <si>
    <t>F40113</t>
  </si>
  <si>
    <t>VERNOUILLET</t>
  </si>
  <si>
    <t>EOLE BEZONS raccordement groupe 5</t>
  </si>
  <si>
    <t>010+000</t>
  </si>
  <si>
    <t>011+500</t>
  </si>
  <si>
    <t>Autres Opérations</t>
  </si>
  <si>
    <t>06/04/2015</t>
  </si>
  <si>
    <t>31/12/2020</t>
  </si>
  <si>
    <t>ROUQUART</t>
  </si>
  <si>
    <t>report 2024</t>
  </si>
  <si>
    <t>F40224</t>
  </si>
  <si>
    <t>Massy-Verrières</t>
  </si>
  <si>
    <t>Remplacement du PRa de Gallardon</t>
  </si>
  <si>
    <t>985000</t>
  </si>
  <si>
    <t>024+656</t>
  </si>
  <si>
    <t>024+856</t>
  </si>
  <si>
    <t>01/05/2016</t>
  </si>
  <si>
    <t>01/08/2017</t>
  </si>
  <si>
    <t>KHOUMA</t>
  </si>
  <si>
    <t>F40971</t>
  </si>
  <si>
    <t>Mantes la jolie</t>
  </si>
  <si>
    <t>RAV Becon (1ere partie) 2016</t>
  </si>
  <si>
    <t>004+250</t>
  </si>
  <si>
    <t>007+020</t>
  </si>
  <si>
    <t>F43690</t>
  </si>
  <si>
    <t>RAV Nanterre 2016</t>
  </si>
  <si>
    <t>975900</t>
  </si>
  <si>
    <t>024+815</t>
  </si>
  <si>
    <t>024+845</t>
  </si>
  <si>
    <t>F40973</t>
  </si>
  <si>
    <t>RVB Nanterre Université</t>
  </si>
  <si>
    <t>975000</t>
  </si>
  <si>
    <t>009+330</t>
  </si>
  <si>
    <t>010+850</t>
  </si>
  <si>
    <t>F41147</t>
  </si>
  <si>
    <t>Massy</t>
  </si>
  <si>
    <t>A compléter</t>
  </si>
  <si>
    <t>12D12 S19 à S24</t>
  </si>
  <si>
    <t>F41817</t>
  </si>
  <si>
    <t>SR LOT2 (Connexes) A GAUTHIER</t>
  </si>
  <si>
    <t>Trappes</t>
  </si>
  <si>
    <t>GOP PRG 2016 AVP</t>
  </si>
  <si>
    <t>395000</t>
  </si>
  <si>
    <t>033+770</t>
  </si>
  <si>
    <t>079+661</t>
  </si>
  <si>
    <t>27/07/2016</t>
  </si>
  <si>
    <t>08/10/2016</t>
  </si>
  <si>
    <t>Lawniczek</t>
  </si>
  <si>
    <t>Dreux</t>
  </si>
  <si>
    <t>F42019</t>
  </si>
  <si>
    <t>Garches Marnes la Coquette</t>
  </si>
  <si>
    <t>RAV Garches 2016</t>
  </si>
  <si>
    <t>974000</t>
  </si>
  <si>
    <t>016+303</t>
  </si>
  <si>
    <t>017+317</t>
  </si>
  <si>
    <t>F42124</t>
  </si>
  <si>
    <t>Juvisy</t>
  </si>
  <si>
    <t>RVB de 3225m</t>
  </si>
  <si>
    <t>570000</t>
  </si>
  <si>
    <t>018+894</t>
  </si>
  <si>
    <t>030+300</t>
  </si>
  <si>
    <t>BRICE</t>
  </si>
  <si>
    <t>Athis Mons</t>
  </si>
  <si>
    <t>F42728</t>
  </si>
  <si>
    <t>RB LN2 G GIANNOTTI</t>
  </si>
  <si>
    <t>Auneau</t>
  </si>
  <si>
    <t>RB LN2 2016</t>
  </si>
  <si>
    <t>431000</t>
  </si>
  <si>
    <t>051+000</t>
  </si>
  <si>
    <t>078+900</t>
  </si>
  <si>
    <t>DAVID</t>
  </si>
  <si>
    <t>S20 à S31 44D12</t>
  </si>
  <si>
    <t>F42835</t>
  </si>
  <si>
    <t>RAD LN2 G GIANNOTTI</t>
  </si>
  <si>
    <t>Rouvray</t>
  </si>
  <si>
    <t>RAV du PRS 15 LGV A</t>
  </si>
  <si>
    <t>091+500</t>
  </si>
  <si>
    <t>093+500</t>
  </si>
  <si>
    <t>G2</t>
  </si>
  <si>
    <t>15/12/2016</t>
  </si>
  <si>
    <t>F43046</t>
  </si>
  <si>
    <t>RVB + RAV + RB</t>
  </si>
  <si>
    <t>085+500</t>
  </si>
  <si>
    <t>104+660</t>
  </si>
  <si>
    <t>18/04/2016</t>
  </si>
  <si>
    <t>03/06/2016</t>
  </si>
  <si>
    <t>LAVAL</t>
  </si>
  <si>
    <t>Thiais</t>
  </si>
  <si>
    <t>J93396</t>
  </si>
  <si>
    <t>GAGNY</t>
  </si>
  <si>
    <t>EOLE Base NEXTEO Gagny</t>
  </si>
  <si>
    <t>CENDRES</t>
  </si>
  <si>
    <t>attente infos karine</t>
  </si>
  <si>
    <t>F39542</t>
  </si>
  <si>
    <t>F41992</t>
  </si>
  <si>
    <t>Courtalain</t>
  </si>
  <si>
    <t>F42745</t>
  </si>
  <si>
    <t>RAV+RVB Epernon et Jouy</t>
  </si>
  <si>
    <t>060+657</t>
  </si>
  <si>
    <t>078+078</t>
  </si>
  <si>
    <t>11/01/2016</t>
  </si>
  <si>
    <t>02/04/2016</t>
  </si>
  <si>
    <t>Heurtevin</t>
  </si>
  <si>
    <t>F42810</t>
  </si>
  <si>
    <t>RAV Clamart</t>
  </si>
  <si>
    <t>005+047</t>
  </si>
  <si>
    <t>005+410</t>
  </si>
  <si>
    <t>28/03/2016</t>
  </si>
  <si>
    <t>F35243</t>
  </si>
  <si>
    <t>Report 2016_ 570 RVB VOIE 17 &amp; 18 RAV 2013</t>
  </si>
  <si>
    <t>000+689</t>
  </si>
  <si>
    <t>001+245</t>
  </si>
  <si>
    <t>01/02/2013</t>
  </si>
  <si>
    <t>F43958</t>
  </si>
  <si>
    <t>RAV Pont de Rungis</t>
  </si>
  <si>
    <t>016+050</t>
  </si>
  <si>
    <t>016+150</t>
  </si>
  <si>
    <t>F39420</t>
  </si>
  <si>
    <t>Report 2016 _ RAV BS 2 et 102 - RVB Voie OJ</t>
  </si>
  <si>
    <t>013+250</t>
  </si>
  <si>
    <t>015+750</t>
  </si>
  <si>
    <t>SO</t>
  </si>
  <si>
    <t>F43510</t>
  </si>
  <si>
    <t>Arnage</t>
  </si>
  <si>
    <t>Report de la GOP 2011</t>
  </si>
  <si>
    <t>241+137</t>
  </si>
  <si>
    <t>318+300</t>
  </si>
  <si>
    <t xml:space="preserve">JANIERE </t>
  </si>
  <si>
    <t>VFF35250</t>
  </si>
  <si>
    <t>PFA Trappes</t>
  </si>
  <si>
    <t>Total surdon</t>
  </si>
  <si>
    <t>SE</t>
  </si>
  <si>
    <t>Courzieu</t>
  </si>
  <si>
    <t>F36095</t>
  </si>
  <si>
    <t>SGMO</t>
  </si>
  <si>
    <t>LYON</t>
  </si>
  <si>
    <t>AFPL - Voies additionnelles - Relevages Brotteaux (lot 1) et Vaise (lot 2)</t>
  </si>
  <si>
    <t>893000</t>
  </si>
  <si>
    <t>506+000</t>
  </si>
  <si>
    <t>507+500</t>
  </si>
  <si>
    <t>Relevage de voie</t>
  </si>
  <si>
    <t>AFPL</t>
  </si>
  <si>
    <t>01/10/2016</t>
  </si>
  <si>
    <t>KRIKORIAN</t>
  </si>
  <si>
    <t>F37005</t>
  </si>
  <si>
    <t>Report 2015 - RVB des voies bis de Pierrelatte</t>
  </si>
  <si>
    <t>670+580</t>
  </si>
  <si>
    <t>683+505</t>
  </si>
  <si>
    <t>REGEVOIE</t>
  </si>
  <si>
    <t>19/09/2016</t>
  </si>
  <si>
    <t>18/11/2016</t>
  </si>
  <si>
    <t>MALGRAS</t>
  </si>
  <si>
    <t>F41235</t>
  </si>
  <si>
    <t>MONTPELLIER</t>
  </si>
  <si>
    <t>CPER Carcassonne Quillan</t>
  </si>
  <si>
    <t>676000</t>
  </si>
  <si>
    <t>354+200</t>
  </si>
  <si>
    <t>366+700</t>
  </si>
  <si>
    <t>JOURNET</t>
  </si>
  <si>
    <t>RP3L nov</t>
  </si>
  <si>
    <t>F41369</t>
  </si>
  <si>
    <t>ambérieu</t>
  </si>
  <si>
    <t>CHAMBERY</t>
  </si>
  <si>
    <t>GOP Maurienne 2016</t>
  </si>
  <si>
    <t>900000</t>
  </si>
  <si>
    <t>138.600</t>
  </si>
  <si>
    <t>191.150</t>
  </si>
  <si>
    <t>Luciano</t>
  </si>
  <si>
    <t>St jean</t>
  </si>
  <si>
    <t>st jean</t>
  </si>
  <si>
    <t>F41692</t>
  </si>
  <si>
    <t>Sibelin</t>
  </si>
  <si>
    <t>RAV Sibelin 2016</t>
  </si>
  <si>
    <t>003+950</t>
  </si>
  <si>
    <t>06/08/2016</t>
  </si>
  <si>
    <t>29/08/2016</t>
  </si>
  <si>
    <t>F43780</t>
  </si>
  <si>
    <t>St Germain Mont d'Or</t>
  </si>
  <si>
    <t>RB + RR</t>
  </si>
  <si>
    <t>783000</t>
  </si>
  <si>
    <t>494+400</t>
  </si>
  <si>
    <t>496+062</t>
  </si>
  <si>
    <t>Renouvellement de rails et de ballast</t>
  </si>
  <si>
    <t>ONI</t>
  </si>
  <si>
    <t>F42637</t>
  </si>
  <si>
    <t>BEZIERS</t>
  </si>
  <si>
    <t>RAV 12BS BEZIERS</t>
  </si>
  <si>
    <t>640000</t>
  </si>
  <si>
    <t>430+700</t>
  </si>
  <si>
    <t>432+300</t>
  </si>
  <si>
    <t>01/12/2015</t>
  </si>
  <si>
    <t>12/03/2016</t>
  </si>
  <si>
    <t>ACKAERT</t>
  </si>
  <si>
    <t>1/2 jusqu'à fin mars</t>
  </si>
  <si>
    <t>FER FRET + OFI</t>
  </si>
  <si>
    <t>F40619</t>
  </si>
  <si>
    <t>badan</t>
  </si>
  <si>
    <t>RVB V1+2 Givors Ville - RR et RB+RT VRaccordement de Chasse</t>
  </si>
  <si>
    <t>536+880</t>
  </si>
  <si>
    <t>538+945</t>
  </si>
  <si>
    <t>17/11/2014</t>
  </si>
  <si>
    <t>04/03/2016</t>
  </si>
  <si>
    <t>PIZZIMENTI</t>
  </si>
  <si>
    <t>givors et chasse</t>
  </si>
  <si>
    <t>F38626</t>
  </si>
  <si>
    <t>RVB VoieD</t>
  </si>
  <si>
    <t>507+562</t>
  </si>
  <si>
    <t>507+825</t>
  </si>
  <si>
    <t xml:space="preserve">ROUTE </t>
  </si>
  <si>
    <t>Dm ok</t>
  </si>
  <si>
    <t>F44496</t>
  </si>
  <si>
    <t>St martin le vinoux</t>
  </si>
  <si>
    <t>F43225</t>
  </si>
  <si>
    <t>Chasse</t>
  </si>
  <si>
    <t>RVB GIVORS-PEYRAUD</t>
  </si>
  <si>
    <t>800000</t>
  </si>
  <si>
    <t>523+207</t>
  </si>
  <si>
    <t>575+185</t>
  </si>
  <si>
    <t>13/02/2017</t>
  </si>
  <si>
    <t>16/06/2017</t>
  </si>
  <si>
    <t>ORTEGA</t>
  </si>
  <si>
    <t>ROUTE et FER</t>
  </si>
  <si>
    <t>PFA St Priest</t>
  </si>
  <si>
    <t>Total courzieu</t>
  </si>
  <si>
    <t>Cusset</t>
  </si>
  <si>
    <t>RPOL le 6/10</t>
  </si>
  <si>
    <t>F38154/F39702</t>
  </si>
  <si>
    <t>Fos coussoul</t>
  </si>
  <si>
    <t>MARSEILLE</t>
  </si>
  <si>
    <t>report 2016 + englobe F39702 (Lot RB/LC Marseille 2013)</t>
  </si>
  <si>
    <t>935903</t>
  </si>
  <si>
    <t>011+600</t>
  </si>
  <si>
    <t>019+641</t>
  </si>
  <si>
    <t>04/03/2013</t>
  </si>
  <si>
    <t>BECCHIS</t>
  </si>
  <si>
    <t>F31986/F38409</t>
  </si>
  <si>
    <t>Vichy</t>
  </si>
  <si>
    <t>Report 2016 - RB, RB/RT, RB/RR et amélioration de l'assainissement</t>
  </si>
  <si>
    <t>787000</t>
  </si>
  <si>
    <t>378+400</t>
  </si>
  <si>
    <t>381+900</t>
  </si>
  <si>
    <t>08/05/2013</t>
  </si>
  <si>
    <t>25/05/2013</t>
  </si>
  <si>
    <t>F39701</t>
  </si>
  <si>
    <t>SR LOT1 T FINON</t>
  </si>
  <si>
    <t>Cannes</t>
  </si>
  <si>
    <t>SR1 / 2016 - Anthéor Golf Juan</t>
  </si>
  <si>
    <t>930000</t>
  </si>
  <si>
    <t>174+460</t>
  </si>
  <si>
    <t>198+630</t>
  </si>
  <si>
    <t>24/10/2016</t>
  </si>
  <si>
    <t>23/12/2016</t>
  </si>
  <si>
    <t>report 2020</t>
  </si>
  <si>
    <t>F40597</t>
  </si>
  <si>
    <t>RVB + RB/RT + RB ADV</t>
  </si>
  <si>
    <t>935901</t>
  </si>
  <si>
    <t>008+834</t>
  </si>
  <si>
    <t>F40604</t>
  </si>
  <si>
    <t>Cannes m/ses</t>
  </si>
  <si>
    <t>RB App n°2 + RB 15931m + RB 4980m + RVB</t>
  </si>
  <si>
    <t>203+900</t>
  </si>
  <si>
    <t>000+223</t>
  </si>
  <si>
    <t>JARNO</t>
  </si>
  <si>
    <t>F42770</t>
  </si>
  <si>
    <t>Clermont Ferrand</t>
  </si>
  <si>
    <t>RB de VC et RAV</t>
  </si>
  <si>
    <t>395+440</t>
  </si>
  <si>
    <t>397+666</t>
  </si>
  <si>
    <t>Renouvellement de ballast</t>
  </si>
  <si>
    <t>D</t>
  </si>
  <si>
    <t>06/05/2016</t>
  </si>
  <si>
    <t>F43558</t>
  </si>
  <si>
    <t>Clermont - Issoire</t>
  </si>
  <si>
    <t>RVB, RR 1F et 2F, 2 RB de BS</t>
  </si>
  <si>
    <t>790000</t>
  </si>
  <si>
    <t>421+550</t>
  </si>
  <si>
    <t>447+580</t>
  </si>
  <si>
    <t>07/04/2016</t>
  </si>
  <si>
    <t>14/05/2016</t>
  </si>
  <si>
    <t>F43602</t>
  </si>
  <si>
    <t>St germain des fossées</t>
  </si>
  <si>
    <t>RAV 2016 La Ferté Hauterive (VIGIRAIL)</t>
  </si>
  <si>
    <t>331+180</t>
  </si>
  <si>
    <t>333+277</t>
  </si>
  <si>
    <t>F</t>
  </si>
  <si>
    <t>11/04/2016</t>
  </si>
  <si>
    <t>F43675</t>
  </si>
  <si>
    <t>St Pierre le Moutier</t>
  </si>
  <si>
    <t>RAV Gare de St Pierre le Moutier</t>
  </si>
  <si>
    <t>280+200</t>
  </si>
  <si>
    <t>281+400</t>
  </si>
  <si>
    <t xml:space="preserve">SE </t>
  </si>
  <si>
    <t>VFF55490</t>
  </si>
  <si>
    <t>G GIANNOTTI</t>
  </si>
  <si>
    <t>Roquemaure</t>
  </si>
  <si>
    <t>possibilité de rebasculer en fer depuis ste cécile</t>
  </si>
  <si>
    <t>Eurre</t>
  </si>
  <si>
    <t>PFA Gannat</t>
  </si>
  <si>
    <t>Total Cusset</t>
  </si>
  <si>
    <t>Montrond</t>
  </si>
  <si>
    <t>F40522</t>
  </si>
  <si>
    <t>Firminy</t>
  </si>
  <si>
    <t>RVB Firminy St Etienne</t>
  </si>
  <si>
    <t>798000</t>
  </si>
  <si>
    <t>123+324</t>
  </si>
  <si>
    <t>137+957</t>
  </si>
  <si>
    <t>F41405</t>
  </si>
  <si>
    <t>St Etienne et Rive de Giers</t>
  </si>
  <si>
    <t>RAV St Etienne - Rive de Giers</t>
  </si>
  <si>
    <t>F43917</t>
  </si>
  <si>
    <t>Balbigny</t>
  </si>
  <si>
    <t>RVB St Jodard Balbigny</t>
  </si>
  <si>
    <t>442+400</t>
  </si>
  <si>
    <t>446+900</t>
  </si>
  <si>
    <t>PR5801/F41569</t>
  </si>
  <si>
    <t>Montdauphin-Guillestre</t>
  </si>
  <si>
    <t>F41569 - RVB entre Montdauphin et Briançon</t>
  </si>
  <si>
    <t>915000</t>
  </si>
  <si>
    <t>321+700</t>
  </si>
  <si>
    <t>345+127</t>
  </si>
  <si>
    <t>F43354</t>
  </si>
  <si>
    <t>Vénissieux</t>
  </si>
  <si>
    <t>RAV Vénissieux P7 2016</t>
  </si>
  <si>
    <t>905000</t>
  </si>
  <si>
    <t>04.+980</t>
  </si>
  <si>
    <t>05.+811</t>
  </si>
  <si>
    <t>30/12/2016</t>
  </si>
  <si>
    <t>F41845</t>
  </si>
  <si>
    <t>la seyne</t>
  </si>
  <si>
    <t>RAV Gare de Toulon - Chantier 2016</t>
  </si>
  <si>
    <t>066+600</t>
  </si>
  <si>
    <t>067+700</t>
  </si>
  <si>
    <t xml:space="preserve">1/2 D12 </t>
  </si>
  <si>
    <t>F39795</t>
  </si>
  <si>
    <t>Roanne</t>
  </si>
  <si>
    <t>PFA Amberieu</t>
  </si>
  <si>
    <t>Total Montrond</t>
  </si>
  <si>
    <t>Ste Cécile</t>
  </si>
  <si>
    <t>F29572</t>
  </si>
  <si>
    <t>Annemasse</t>
  </si>
  <si>
    <t>Gare d'Annemasse (CEVA)</t>
  </si>
  <si>
    <t>889200</t>
  </si>
  <si>
    <t>077+740</t>
  </si>
  <si>
    <t>094+650</t>
  </si>
  <si>
    <t>01/06/2019</t>
  </si>
  <si>
    <t>SCHAUDEL</t>
  </si>
  <si>
    <t>F39728</t>
  </si>
  <si>
    <t>Aiguebelette</t>
  </si>
  <si>
    <t>Report 2014 vers 2016 - RVB Saint Cassin</t>
  </si>
  <si>
    <t>903000</t>
  </si>
  <si>
    <t>098+740</t>
  </si>
  <si>
    <t>099+780</t>
  </si>
  <si>
    <t>03/11/2014</t>
  </si>
  <si>
    <t>ROGEZ</t>
  </si>
  <si>
    <t>F40568</t>
  </si>
  <si>
    <t>Bourg St Maurice</t>
  </si>
  <si>
    <t>Report date ? RB+RT et RB adv en gare de BSM</t>
  </si>
  <si>
    <t>899000</t>
  </si>
  <si>
    <t>079+444</t>
  </si>
  <si>
    <t>080+227</t>
  </si>
  <si>
    <t>Renouvellement de traverses et de ballast</t>
  </si>
  <si>
    <t>F40573</t>
  </si>
  <si>
    <t>Epierre</t>
  </si>
  <si>
    <t>RAV Epierre</t>
  </si>
  <si>
    <t>185+120</t>
  </si>
  <si>
    <t>187+069</t>
  </si>
  <si>
    <t>F42279</t>
  </si>
  <si>
    <t>Reaumont</t>
  </si>
  <si>
    <t>RVB + RB/RT Tunnel de Criel</t>
  </si>
  <si>
    <t>102+938</t>
  </si>
  <si>
    <t>104+059</t>
  </si>
  <si>
    <t>F42278</t>
  </si>
  <si>
    <t>Ambérieu et B. en Bresse</t>
  </si>
  <si>
    <t>RAV 10 appareils de voie + voies encadrantes</t>
  </si>
  <si>
    <t>890000</t>
  </si>
  <si>
    <t>25/11/2016</t>
  </si>
  <si>
    <t>F41885</t>
  </si>
  <si>
    <t>PELICAN</t>
  </si>
  <si>
    <t>base de calcul 1,2</t>
  </si>
  <si>
    <t>F40553</t>
  </si>
  <si>
    <t>Sète</t>
  </si>
  <si>
    <t>SR1/2016 - RVB Narbonne Montpellier</t>
  </si>
  <si>
    <t>406+700</t>
  </si>
  <si>
    <t>474+420</t>
  </si>
  <si>
    <t>25/04/2016</t>
  </si>
  <si>
    <t>29/10/2016</t>
  </si>
  <si>
    <t>MERGEY</t>
  </si>
  <si>
    <t>F34566</t>
  </si>
  <si>
    <t>Mâcon</t>
  </si>
  <si>
    <t>Gare MACON-RAV 56L et RB 50L</t>
  </si>
  <si>
    <t>439+371</t>
  </si>
  <si>
    <t>440+597</t>
  </si>
  <si>
    <t>18/01/2016</t>
  </si>
  <si>
    <t>20/05/2016</t>
  </si>
  <si>
    <t>F42970</t>
  </si>
  <si>
    <t xml:space="preserve">Macon </t>
  </si>
  <si>
    <t>RAV Macon et Pontanevaux</t>
  </si>
  <si>
    <t>439+200</t>
  </si>
  <si>
    <t>450+900</t>
  </si>
  <si>
    <t>11/05/2016</t>
  </si>
  <si>
    <t>Macon et Pontanevaux</t>
  </si>
  <si>
    <t>la chapelle</t>
  </si>
  <si>
    <t>F42719</t>
  </si>
  <si>
    <t>MONTMELIAN</t>
  </si>
  <si>
    <t>RAV de 3 appareils, voies encadrantes et RR</t>
  </si>
  <si>
    <t>909000</t>
  </si>
  <si>
    <t>049+000</t>
  </si>
  <si>
    <t>049+500</t>
  </si>
  <si>
    <t>19/11/2016</t>
  </si>
  <si>
    <t>F42280</t>
  </si>
  <si>
    <t>RAV 4 ADV</t>
  </si>
  <si>
    <t>F43281</t>
  </si>
  <si>
    <t>RAD LN4/5 G GIANNOTTI</t>
  </si>
  <si>
    <t>manduel</t>
  </si>
  <si>
    <t>RAD LGV 2016</t>
  </si>
  <si>
    <t>605+400</t>
  </si>
  <si>
    <t>623+300</t>
  </si>
  <si>
    <t>G1</t>
  </si>
  <si>
    <t>GILERON</t>
  </si>
  <si>
    <t>Arles pour Fos</t>
  </si>
  <si>
    <t>F41253</t>
  </si>
  <si>
    <t>Les Arcs</t>
  </si>
  <si>
    <t>Cheval Blanc</t>
  </si>
  <si>
    <t>St Quentin Fallavier</t>
  </si>
  <si>
    <t>PFA Béziers</t>
  </si>
  <si>
    <t>PFA Miramas</t>
  </si>
  <si>
    <t>Total Ste Cécile</t>
  </si>
  <si>
    <t>Delmonico</t>
  </si>
  <si>
    <t xml:space="preserve">Total Delmonico </t>
  </si>
  <si>
    <t>Cluis</t>
  </si>
  <si>
    <t>F41687</t>
  </si>
  <si>
    <t>Orleans</t>
  </si>
  <si>
    <t>Total Cluis</t>
  </si>
  <si>
    <t>Ambazac</t>
  </si>
  <si>
    <t>F43049</t>
  </si>
  <si>
    <t>St Sulpice</t>
  </si>
  <si>
    <t>LIMOGES</t>
  </si>
  <si>
    <t>RAV Chateauroux - Cazoules 2016 - Lot1: Brive, lot2: Cazoules, lot3: Gignac, lot4: St Sulpice et Chateauroux</t>
  </si>
  <si>
    <t>590000</t>
  </si>
  <si>
    <t>263+160</t>
  </si>
  <si>
    <t>542+336</t>
  </si>
  <si>
    <t>22/02/2016</t>
  </si>
  <si>
    <t>MERIGAUD</t>
  </si>
  <si>
    <t>Total Ambazac</t>
  </si>
  <si>
    <t>Dussac</t>
  </si>
  <si>
    <t>F38310</t>
  </si>
  <si>
    <t>BASSENS</t>
  </si>
  <si>
    <t>BORDEAUX</t>
  </si>
  <si>
    <t>Mise en charge D Bassens</t>
  </si>
  <si>
    <t>01/06/2014</t>
  </si>
  <si>
    <t>31/12/2014</t>
  </si>
  <si>
    <t>BERTHELOT</t>
  </si>
  <si>
    <t>dm ok
RP3L nov 2015</t>
  </si>
  <si>
    <t>F40581</t>
  </si>
  <si>
    <t>Ychoux</t>
  </si>
  <si>
    <t>RAV GARE DE FACTURE</t>
  </si>
  <si>
    <t>655000</t>
  </si>
  <si>
    <t>037+000</t>
  </si>
  <si>
    <t>REGE VOIE</t>
  </si>
  <si>
    <t>11/02/2014</t>
  </si>
  <si>
    <t>31/12/2015</t>
  </si>
  <si>
    <t>HYVERNAUD</t>
  </si>
  <si>
    <t>F32785</t>
  </si>
  <si>
    <t>Bordeaux</t>
  </si>
  <si>
    <t>Bouchon Ferroviaire 2ème Phase (Doublement voie + electrification zone Benauge-Cenon)</t>
  </si>
  <si>
    <t>57000</t>
  </si>
  <si>
    <t>HPR (IGR-CO)</t>
  </si>
  <si>
    <t>01/06/2011</t>
  </si>
  <si>
    <t>30/06/2015</t>
  </si>
  <si>
    <t>F43562</t>
  </si>
  <si>
    <t>RVB Tunnels de Lormont (reliquat GOP)</t>
  </si>
  <si>
    <t>577+350</t>
  </si>
  <si>
    <t>578+300</t>
  </si>
  <si>
    <t>10/01/2016</t>
  </si>
  <si>
    <t>VOULIOT</t>
  </si>
  <si>
    <t>F33989</t>
  </si>
  <si>
    <t>Langon</t>
  </si>
  <si>
    <t>Total Dussac</t>
  </si>
  <si>
    <t>Pont de Pierre</t>
  </si>
  <si>
    <t>PLKJ916/E18104</t>
  </si>
  <si>
    <t>Mousteru</t>
  </si>
  <si>
    <t>F43492</t>
  </si>
  <si>
    <t>St Malo</t>
  </si>
  <si>
    <t>RVB HS Assainissement Pontchail</t>
  </si>
  <si>
    <t>441000</t>
  </si>
  <si>
    <t>375+731</t>
  </si>
  <si>
    <t>377+520</t>
  </si>
  <si>
    <t>F37159</t>
  </si>
  <si>
    <t>Total Pont de Pierre</t>
  </si>
  <si>
    <t>La Harlais</t>
  </si>
  <si>
    <t>F43583</t>
  </si>
  <si>
    <t>Messac</t>
  </si>
  <si>
    <t>Total La Harlais</t>
  </si>
  <si>
    <t>Brefauchet</t>
  </si>
  <si>
    <t>F43834</t>
  </si>
  <si>
    <t>Savenay</t>
  </si>
  <si>
    <t>RAV Savenay 2016</t>
  </si>
  <si>
    <t>515000</t>
  </si>
  <si>
    <t>468+608</t>
  </si>
  <si>
    <t>470+160</t>
  </si>
  <si>
    <t>RIGAUD-PERUT</t>
  </si>
  <si>
    <t>F39935</t>
  </si>
  <si>
    <t>Nantes</t>
  </si>
  <si>
    <t>RVB Racco de Nantes + Rezé + Bouaye</t>
  </si>
  <si>
    <t>514300</t>
  </si>
  <si>
    <t>01.+655</t>
  </si>
  <si>
    <t>004+206</t>
  </si>
  <si>
    <t>10/11/2016</t>
  </si>
  <si>
    <t>Total Brefauchet</t>
  </si>
  <si>
    <t>Thouars</t>
  </si>
  <si>
    <t>EO4305</t>
  </si>
  <si>
    <t>OGE 5199</t>
  </si>
  <si>
    <t>F35306</t>
  </si>
  <si>
    <t>Racc LGV BPL - La Millesse-Voyageurs</t>
  </si>
  <si>
    <t>F36759</t>
  </si>
  <si>
    <t>Port de Piles</t>
  </si>
  <si>
    <t>TOURS</t>
  </si>
  <si>
    <t>Report 2016-RVB et REL/RT voies d'évitements Port de Piles</t>
  </si>
  <si>
    <t>280+140</t>
  </si>
  <si>
    <t>281+300</t>
  </si>
  <si>
    <t>03/06/2013</t>
  </si>
  <si>
    <t>05/07/2013</t>
  </si>
  <si>
    <t>ROGER</t>
  </si>
  <si>
    <t>F41538</t>
  </si>
  <si>
    <t>Vierzon ou Bourges</t>
  </si>
  <si>
    <t>RVB Vierzon Forges</t>
  </si>
  <si>
    <t>251+650</t>
  </si>
  <si>
    <t>252+450</t>
  </si>
  <si>
    <t>TOITOT</t>
  </si>
  <si>
    <t>6 D12 de S37 à S50</t>
  </si>
  <si>
    <t>F41870</t>
  </si>
  <si>
    <t>Rennes</t>
  </si>
  <si>
    <t>RVB + RAV en gare de Rennes</t>
  </si>
  <si>
    <t>371+260</t>
  </si>
  <si>
    <t>373+380</t>
  </si>
  <si>
    <t>09/09/2016</t>
  </si>
  <si>
    <t>fourniture entreprise</t>
  </si>
  <si>
    <t>F41871</t>
  </si>
  <si>
    <t>Guingamp</t>
  </si>
  <si>
    <t>Modernisation Guingamp à Paimpol</t>
  </si>
  <si>
    <t>486000</t>
  </si>
  <si>
    <t>505+947</t>
  </si>
  <si>
    <t>541+776</t>
  </si>
  <si>
    <t>08-029</t>
  </si>
  <si>
    <t>30/04/2017</t>
  </si>
  <si>
    <t>F41955</t>
  </si>
  <si>
    <t>Les Aubrais</t>
  </si>
  <si>
    <t>GOP 2016</t>
  </si>
  <si>
    <t>128+440</t>
  </si>
  <si>
    <t>160+650</t>
  </si>
  <si>
    <t>Opération sur UIC 1à6 hors LGV relevant de la SR rend&lt;900ml/j</t>
  </si>
  <si>
    <t>LE FESSANT</t>
  </si>
  <si>
    <t>F42140</t>
  </si>
  <si>
    <t>Le Mans</t>
  </si>
  <si>
    <t>GOP SR 2016 Le Mans - Sablé</t>
  </si>
  <si>
    <t>450000</t>
  </si>
  <si>
    <t>216+412</t>
  </si>
  <si>
    <t>238+833</t>
  </si>
  <si>
    <t>20/07/2016</t>
  </si>
  <si>
    <t>6 D12 de S14 à S26</t>
  </si>
  <si>
    <t>F43829</t>
  </si>
  <si>
    <t>RVB-RB+RT-simplif. ADV La Duboissière 2016</t>
  </si>
  <si>
    <t>451300</t>
  </si>
  <si>
    <t>002+560</t>
  </si>
  <si>
    <t>003+943</t>
  </si>
  <si>
    <t>E1</t>
  </si>
  <si>
    <t>22 D12 S16</t>
  </si>
  <si>
    <t>F44613</t>
  </si>
  <si>
    <t>SABLE SUR SARTHE</t>
  </si>
  <si>
    <t>RB+RT Le Mans-Angers 2016</t>
  </si>
  <si>
    <t>241+307</t>
  </si>
  <si>
    <t>291+505</t>
  </si>
  <si>
    <t>29/04/2016</t>
  </si>
  <si>
    <t>ATTENTION CHANTIER PEUT ETRE AU DEPART DE LA PFA DE NIORT</t>
  </si>
  <si>
    <t>F43821</t>
  </si>
  <si>
    <t>Niort</t>
  </si>
  <si>
    <t>RVB + RB/RR + RB St Benoît et Salles</t>
  </si>
  <si>
    <t>538000</t>
  </si>
  <si>
    <t>040+414</t>
  </si>
  <si>
    <t>059+470</t>
  </si>
  <si>
    <t>Saintes</t>
  </si>
  <si>
    <t>F42938</t>
  </si>
  <si>
    <t>Report 2016 - RVL 200 Niort La Rochelle</t>
  </si>
  <si>
    <t>094+300</t>
  </si>
  <si>
    <t>123+400</t>
  </si>
  <si>
    <t>D12 ou F28</t>
  </si>
  <si>
    <t>report</t>
  </si>
  <si>
    <t>F40762</t>
  </si>
  <si>
    <t>Puyoo</t>
  </si>
  <si>
    <t>RB/RR Puyoo Dax</t>
  </si>
  <si>
    <t>656000</t>
  </si>
  <si>
    <t>270+600</t>
  </si>
  <si>
    <t>300+130</t>
  </si>
  <si>
    <t>COURROUY</t>
  </si>
  <si>
    <t>F43035</t>
  </si>
  <si>
    <t>Laluque</t>
  </si>
  <si>
    <t>Reliquat GOP Dax Bayonne</t>
  </si>
  <si>
    <t>157+300</t>
  </si>
  <si>
    <t>196+000</t>
  </si>
  <si>
    <t>Simplification et suppression d'installations tous Gr UIC</t>
  </si>
  <si>
    <t>F42864</t>
  </si>
  <si>
    <t>SR 2017 Montrelais à Nantes</t>
  </si>
  <si>
    <t>381+265</t>
  </si>
  <si>
    <t>414+727</t>
  </si>
  <si>
    <t xml:space="preserve">FER </t>
  </si>
  <si>
    <t>F38097</t>
  </si>
  <si>
    <t>Tarbes</t>
  </si>
  <si>
    <t>TOULOUSE</t>
  </si>
  <si>
    <t>RVB Capvern Tournay</t>
  </si>
  <si>
    <t>650000</t>
  </si>
  <si>
    <t>126+424</t>
  </si>
  <si>
    <t>138+400</t>
  </si>
  <si>
    <t>CAPAPE</t>
  </si>
  <si>
    <t>F35703</t>
  </si>
  <si>
    <t>St Pierre des Corps</t>
  </si>
  <si>
    <t>F32782</t>
  </si>
  <si>
    <t>Coutras</t>
  </si>
  <si>
    <t>F42781</t>
  </si>
  <si>
    <t>YCHOUX</t>
  </si>
  <si>
    <t>RR 17836m + RVB + RB/RR + RB</t>
  </si>
  <si>
    <t>004+000</t>
  </si>
  <si>
    <t>097+000</t>
  </si>
  <si>
    <t>PFA Angers</t>
  </si>
  <si>
    <t>PFA Bordeaux</t>
  </si>
  <si>
    <t>PFA SPDC</t>
  </si>
  <si>
    <t>Total Thouars</t>
  </si>
  <si>
    <t>Vauriffier</t>
  </si>
  <si>
    <t xml:space="preserve">dm ok </t>
  </si>
  <si>
    <t>F35789</t>
  </si>
  <si>
    <t>PFA Rennes</t>
  </si>
  <si>
    <t>Total Vauriffier</t>
  </si>
  <si>
    <t>Verneuil</t>
  </si>
  <si>
    <t>F40711</t>
  </si>
  <si>
    <t>Report 2015 - RVB des courbes 49, 53 et 53</t>
  </si>
  <si>
    <t>083+419</t>
  </si>
  <si>
    <t>101+581</t>
  </si>
  <si>
    <t>F42139</t>
  </si>
  <si>
    <t>AGEN</t>
  </si>
  <si>
    <t>RB AGEN 2015/2016</t>
  </si>
  <si>
    <t>103+000</t>
  </si>
  <si>
    <t>151+000</t>
  </si>
  <si>
    <t>12/10/2015</t>
  </si>
  <si>
    <t>12 D12</t>
  </si>
  <si>
    <t>Limoges</t>
  </si>
  <si>
    <t>Verneuil ou Chambon</t>
  </si>
  <si>
    <t>F43051</t>
  </si>
  <si>
    <t>Allassac</t>
  </si>
  <si>
    <t>RVB Tunnels Vigeois et Saint Antoine</t>
  </si>
  <si>
    <t>590</t>
  </si>
  <si>
    <t>467+284</t>
  </si>
  <si>
    <t>502+250</t>
  </si>
  <si>
    <t>DUPUY</t>
  </si>
  <si>
    <t>10 D12 11/01 au 15/04</t>
  </si>
  <si>
    <t>Brives</t>
  </si>
  <si>
    <t>F43474</t>
  </si>
  <si>
    <t>Fenouillet</t>
  </si>
  <si>
    <t>RGV Toulouse Portet</t>
  </si>
  <si>
    <t>650</t>
  </si>
  <si>
    <t>002+270</t>
  </si>
  <si>
    <t>013+000</t>
  </si>
  <si>
    <t>17/02/2016</t>
  </si>
  <si>
    <t>F43833</t>
  </si>
  <si>
    <t>St Jory</t>
  </si>
  <si>
    <t>F43476</t>
  </si>
  <si>
    <t>Toulouse</t>
  </si>
  <si>
    <t>RVB Voies 5 et 6 de Toulouse</t>
  </si>
  <si>
    <t>255+940</t>
  </si>
  <si>
    <t>256+700</t>
  </si>
  <si>
    <t>F45311</t>
  </si>
  <si>
    <t>Suppression PN180 et PN181</t>
  </si>
  <si>
    <t>244+747</t>
  </si>
  <si>
    <t>245+609</t>
  </si>
  <si>
    <t>07/10/2016</t>
  </si>
  <si>
    <t>report 2019</t>
  </si>
  <si>
    <t>F36871</t>
  </si>
  <si>
    <t>Report 2012 =&gt; 2016 - RBRT Assainissement Tunnels Marot Cabanes Tuileries</t>
  </si>
  <si>
    <t>551+187</t>
  </si>
  <si>
    <t>574+364</t>
  </si>
  <si>
    <t>25/06/2012</t>
  </si>
  <si>
    <t>07/12/2012</t>
  </si>
  <si>
    <t>Béziers</t>
  </si>
  <si>
    <t>F38578</t>
  </si>
  <si>
    <t>Carcassonne</t>
  </si>
  <si>
    <t>RVB SR /2017 - Castelnaudary / Carcassonne</t>
  </si>
  <si>
    <t>312+125</t>
  </si>
  <si>
    <t>344+390</t>
  </si>
  <si>
    <t>05/01/2017</t>
  </si>
  <si>
    <t>06/03/2017</t>
  </si>
  <si>
    <t>Calsternaudary</t>
  </si>
  <si>
    <t>VFF</t>
  </si>
  <si>
    <t>Total Verneuil</t>
  </si>
  <si>
    <t>Savensa</t>
  </si>
  <si>
    <t>SR LOT1 (HS) T FINON</t>
  </si>
  <si>
    <t>Montpellier</t>
  </si>
  <si>
    <t>Lannemezan</t>
  </si>
  <si>
    <t>F44083</t>
  </si>
  <si>
    <t>PFA ST Jory</t>
  </si>
  <si>
    <t>Total Savensa</t>
  </si>
  <si>
    <t>ZPFA</t>
  </si>
  <si>
    <t>ZPFA Achères</t>
  </si>
  <si>
    <t>F34561</t>
  </si>
  <si>
    <t>ROSNY</t>
  </si>
  <si>
    <t>Report 2016 - (SIM à PARTIR RPO) Gare de Rosny. RAV n° 29 et 30</t>
  </si>
  <si>
    <t>063+056</t>
  </si>
  <si>
    <t>063+158</t>
  </si>
  <si>
    <t>F39188</t>
  </si>
  <si>
    <t>Argenteuil</t>
  </si>
  <si>
    <t>RAV Cergy St Christophe</t>
  </si>
  <si>
    <t>326000</t>
  </si>
  <si>
    <t>036+300</t>
  </si>
  <si>
    <t>036+600</t>
  </si>
  <si>
    <t>01/03/2016</t>
  </si>
  <si>
    <t>R39</t>
  </si>
  <si>
    <t>F40314</t>
  </si>
  <si>
    <t>Pontoise Gisors</t>
  </si>
  <si>
    <t>RAV Pontoise Gisors</t>
  </si>
  <si>
    <t>034+548</t>
  </si>
  <si>
    <t>047+445</t>
  </si>
  <si>
    <t>F40040</t>
  </si>
  <si>
    <t>RAV PSL 2016</t>
  </si>
  <si>
    <t>334000</t>
  </si>
  <si>
    <t>000+593</t>
  </si>
  <si>
    <t>000+684</t>
  </si>
  <si>
    <t>F40107</t>
  </si>
  <si>
    <t>EOLE Mantes la Jolie - Gare VERNOUILLET</t>
  </si>
  <si>
    <t>ABRIC</t>
  </si>
  <si>
    <t>F40038</t>
  </si>
  <si>
    <t>001+915</t>
  </si>
  <si>
    <t>002+136</t>
  </si>
  <si>
    <t>F43691</t>
  </si>
  <si>
    <t>Becon les Bruyères</t>
  </si>
  <si>
    <t>RAV Becon (2ème partie) 2016</t>
  </si>
  <si>
    <t>005+550</t>
  </si>
  <si>
    <t>005+960</t>
  </si>
  <si>
    <t>28/10/2016</t>
  </si>
  <si>
    <t>PLJR942</t>
  </si>
  <si>
    <t>VFF35110</t>
  </si>
  <si>
    <t>simulation maintenance</t>
  </si>
  <si>
    <t>Total ZPFA Achères</t>
  </si>
  <si>
    <t>ZPFA Amberieu</t>
  </si>
  <si>
    <t>F33649</t>
  </si>
  <si>
    <t>Annemasse + Bossey</t>
  </si>
  <si>
    <t>RAV Annemasse+Bossey</t>
  </si>
  <si>
    <t>892000</t>
  </si>
  <si>
    <t>165+445</t>
  </si>
  <si>
    <t>173+318</t>
  </si>
  <si>
    <t>02/09/2016</t>
  </si>
  <si>
    <t>rattaché au F42278</t>
  </si>
  <si>
    <t>F44368</t>
  </si>
  <si>
    <t>Ambérieu</t>
  </si>
  <si>
    <t>RAV 2 TO Tg 0.264</t>
  </si>
  <si>
    <t>052+553</t>
  </si>
  <si>
    <t>052+598</t>
  </si>
  <si>
    <t>02/05/2016</t>
  </si>
  <si>
    <t>VFF55700</t>
  </si>
  <si>
    <t>Total ZPFA Amberieu</t>
  </si>
  <si>
    <t>ZPFA Angers</t>
  </si>
  <si>
    <t>F35313</t>
  </si>
  <si>
    <t>LGV BPL Racco Sablé (plusieurs C6)</t>
  </si>
  <si>
    <t>254+471</t>
  </si>
  <si>
    <t>257+873</t>
  </si>
  <si>
    <t>01/11/2012</t>
  </si>
  <si>
    <t>31/12/2013</t>
  </si>
  <si>
    <t>DENIS</t>
  </si>
  <si>
    <t>F43710</t>
  </si>
  <si>
    <t>Morannes</t>
  </si>
  <si>
    <t>RB+RT et Dépose Brts A et G</t>
  </si>
  <si>
    <t>273+071</t>
  </si>
  <si>
    <t>273+556</t>
  </si>
  <si>
    <t>05/02/2016</t>
  </si>
  <si>
    <t>F39355</t>
  </si>
  <si>
    <t>Angers</t>
  </si>
  <si>
    <t>Report 2016 - lot 1 : RAV BS + RVB Racco + RR FH / lot 2 : RVB gare d'Angers</t>
  </si>
  <si>
    <t>342+500</t>
  </si>
  <si>
    <t>343+500</t>
  </si>
  <si>
    <t>09/12/2016</t>
  </si>
  <si>
    <t>VFF35780</t>
  </si>
  <si>
    <t>Total ZPFA Angers</t>
  </si>
  <si>
    <t>ZPFA Béziers</t>
  </si>
  <si>
    <t>VFF65450</t>
  </si>
  <si>
    <t>Total ZPFA Béziers</t>
  </si>
  <si>
    <t>ZPFA Blainville</t>
  </si>
  <si>
    <t>F43305</t>
  </si>
  <si>
    <t>Benestroff, Rémilly</t>
  </si>
  <si>
    <t>RAV gare de Benestroff et Rémilly</t>
  </si>
  <si>
    <t>140000</t>
  </si>
  <si>
    <t>101+500</t>
  </si>
  <si>
    <t>131+500</t>
  </si>
  <si>
    <t>F44330</t>
  </si>
  <si>
    <t>Woippy, Uckange</t>
  </si>
  <si>
    <t>RVB gares de Woippy  et d'Uckange 2016</t>
  </si>
  <si>
    <t>163+300</t>
  </si>
  <si>
    <t>183+920</t>
  </si>
  <si>
    <t>02/08/2016</t>
  </si>
  <si>
    <t>F40317</t>
  </si>
  <si>
    <t>Thionville</t>
  </si>
  <si>
    <t>Régé App / RVB Hors suite</t>
  </si>
  <si>
    <t>28/07/2014</t>
  </si>
  <si>
    <t>15/08/2014</t>
  </si>
  <si>
    <t>VFF15330/VFF15710</t>
  </si>
  <si>
    <t>Total ZPFA Blainville</t>
  </si>
  <si>
    <t>ZPFA Bordeaux</t>
  </si>
  <si>
    <t>F36609</t>
  </si>
  <si>
    <t>Dangé</t>
  </si>
  <si>
    <t>Gare de USTRE, Simplification des BS (Bq Tx)</t>
  </si>
  <si>
    <t>295+450</t>
  </si>
  <si>
    <t>295+530</t>
  </si>
  <si>
    <t>BALAWENDER</t>
  </si>
  <si>
    <t>F40275</t>
  </si>
  <si>
    <t>Angoulême</t>
  </si>
  <si>
    <t>RR Tunnel Angoulême</t>
  </si>
  <si>
    <t>449+700</t>
  </si>
  <si>
    <t>450+000</t>
  </si>
  <si>
    <t>10/10/2014</t>
  </si>
  <si>
    <t>FARGES</t>
  </si>
  <si>
    <t>F43774</t>
  </si>
  <si>
    <t>Ruffet</t>
  </si>
  <si>
    <t>RVB V1 et V2 Tunnel Les Plans</t>
  </si>
  <si>
    <t>404+208</t>
  </si>
  <si>
    <t>404+504</t>
  </si>
  <si>
    <t>F43131</t>
  </si>
  <si>
    <t>RAV BS Coutras</t>
  </si>
  <si>
    <t>530+624</t>
  </si>
  <si>
    <t>532+360</t>
  </si>
  <si>
    <t>F42729</t>
  </si>
  <si>
    <t>RVB Libourne</t>
  </si>
  <si>
    <t>546+800</t>
  </si>
  <si>
    <t>547+600</t>
  </si>
  <si>
    <t>F41029</t>
  </si>
  <si>
    <t>Grave d'Ambares</t>
  </si>
  <si>
    <t>RAV Graves d'Ambares 2016</t>
  </si>
  <si>
    <t>500000</t>
  </si>
  <si>
    <t>597+700</t>
  </si>
  <si>
    <t>598+936</t>
  </si>
  <si>
    <t>F41937</t>
  </si>
  <si>
    <t>RRN Bx Sète 2016</t>
  </si>
  <si>
    <t>042+000</t>
  </si>
  <si>
    <t>27/05/2016</t>
  </si>
  <si>
    <t>F42860</t>
  </si>
  <si>
    <t>Beillant</t>
  </si>
  <si>
    <t>Modernisation Beillant</t>
  </si>
  <si>
    <t>500+100</t>
  </si>
  <si>
    <t>501+800</t>
  </si>
  <si>
    <t>F41334</t>
  </si>
  <si>
    <t>Montmoreau</t>
  </si>
  <si>
    <t>Modernisation des voies d'évitement + RT/Rel</t>
  </si>
  <si>
    <t>483+891</t>
  </si>
  <si>
    <t>484+839</t>
  </si>
  <si>
    <t>26/10/2015</t>
  </si>
  <si>
    <t>11/12/2015</t>
  </si>
  <si>
    <t>Guirbal/Farges</t>
  </si>
  <si>
    <t>RVB Dax Bayonne</t>
  </si>
  <si>
    <t>E16562</t>
  </si>
  <si>
    <t>BAYONNE</t>
  </si>
  <si>
    <t>UTXIN étanchéité</t>
  </si>
  <si>
    <t>VFF45270/VFF45710</t>
  </si>
  <si>
    <t>Total ZPFA Bordeaux</t>
  </si>
  <si>
    <t>ZPFA Creil</t>
  </si>
  <si>
    <t>F29762</t>
  </si>
  <si>
    <t>(TLN =&gt; DM sur F29762 + F36349 ex RVB 2 GC) TLN 12 : Relèvement des voies Grande Ceinture</t>
  </si>
  <si>
    <t>044+200</t>
  </si>
  <si>
    <t>055+900</t>
  </si>
  <si>
    <t>HPR (IGR-NP)</t>
  </si>
  <si>
    <t>04/07/2011</t>
  </si>
  <si>
    <t>FURGEROT</t>
  </si>
  <si>
    <t>F30744</t>
  </si>
  <si>
    <t>CCR CREIL</t>
  </si>
  <si>
    <t>072+000</t>
  </si>
  <si>
    <t>075+000</t>
  </si>
  <si>
    <t>01/08/2015</t>
  </si>
  <si>
    <t>aublet</t>
  </si>
  <si>
    <t>F37178</t>
  </si>
  <si>
    <t>St DENIS</t>
  </si>
  <si>
    <t>RAV ADV ST DENIS</t>
  </si>
  <si>
    <t>007+400</t>
  </si>
  <si>
    <t>creil</t>
  </si>
  <si>
    <t xml:space="preserve">ZPFA Creil </t>
  </si>
  <si>
    <t>VFF25120</t>
  </si>
  <si>
    <t>Total ZPFA Creil</t>
  </si>
  <si>
    <t>ZPFA Dole</t>
  </si>
  <si>
    <t>F43853</t>
  </si>
  <si>
    <t>Chagny</t>
  </si>
  <si>
    <t>RAV TO Spéciales Chagny</t>
  </si>
  <si>
    <t>760000</t>
  </si>
  <si>
    <t>06/06/2016</t>
  </si>
  <si>
    <t>wagons conservés 2 mois</t>
  </si>
  <si>
    <t>Nuits sous ravières</t>
  </si>
  <si>
    <t>F43627</t>
  </si>
  <si>
    <t>Besançon Viotte</t>
  </si>
  <si>
    <t>RAV 8 AdV + RB 2 AdV</t>
  </si>
  <si>
    <t>852000</t>
  </si>
  <si>
    <t>405+578</t>
  </si>
  <si>
    <t>406+426</t>
  </si>
  <si>
    <t>08/08/2016</t>
  </si>
  <si>
    <t>F41236</t>
  </si>
  <si>
    <t>Vesoul</t>
  </si>
  <si>
    <t>F42048</t>
  </si>
  <si>
    <t>dole</t>
  </si>
  <si>
    <t>RVB V2 Gevrey-Sennecey</t>
  </si>
  <si>
    <t>830 00</t>
  </si>
  <si>
    <t>324+799</t>
  </si>
  <si>
    <t>391+235</t>
  </si>
  <si>
    <t>31/07/2017</t>
  </si>
  <si>
    <t>14/10/2017</t>
  </si>
  <si>
    <t>LUCIANO</t>
  </si>
  <si>
    <t>VFF55330</t>
  </si>
  <si>
    <t>Total ZPFA Dole</t>
  </si>
  <si>
    <t>ZPFA Gannat</t>
  </si>
  <si>
    <t>F43202</t>
  </si>
  <si>
    <t>GOP 2017 V1 Neuvy/Nevers</t>
  </si>
  <si>
    <t>182+796</t>
  </si>
  <si>
    <t>215+150</t>
  </si>
  <si>
    <t>16/08/2016</t>
  </si>
  <si>
    <t>10/11/2017</t>
  </si>
  <si>
    <t>F43708</t>
  </si>
  <si>
    <t>Saincaize</t>
  </si>
  <si>
    <t>RAV 2016 Gare de Saincaize (VIGIRAIL)</t>
  </si>
  <si>
    <t>265+227</t>
  </si>
  <si>
    <t>265+800</t>
  </si>
  <si>
    <t>31/07/2016</t>
  </si>
  <si>
    <t>VFF55520</t>
  </si>
  <si>
    <t>Total ZPFA Gannat</t>
  </si>
  <si>
    <t>ZPFA Hausbergen</t>
  </si>
  <si>
    <t>VFF16840</t>
  </si>
  <si>
    <t>F39984</t>
  </si>
  <si>
    <t>Hausbergen</t>
  </si>
  <si>
    <t>Total ZPFA Hausbergen</t>
  </si>
  <si>
    <t>ZPFA Lille Delivrance</t>
  </si>
  <si>
    <t>F39775</t>
  </si>
  <si>
    <t>RVB Racc de sallaumines</t>
  </si>
  <si>
    <t>284306</t>
  </si>
  <si>
    <t>000+804</t>
  </si>
  <si>
    <t>001+152</t>
  </si>
  <si>
    <t>09/05/2016</t>
  </si>
  <si>
    <t>F44226</t>
  </si>
  <si>
    <t>LOISON</t>
  </si>
  <si>
    <t>RAV LOISON</t>
  </si>
  <si>
    <t>212+600</t>
  </si>
  <si>
    <t>212+850</t>
  </si>
  <si>
    <t>07/06/2016</t>
  </si>
  <si>
    <t>F36550</t>
  </si>
  <si>
    <t>Haumont</t>
  </si>
  <si>
    <t>RAV Bif Douzies - Usines - Haumont</t>
  </si>
  <si>
    <t>223+333</t>
  </si>
  <si>
    <t>226+551</t>
  </si>
  <si>
    <t>Lille Delivrance</t>
  </si>
  <si>
    <t>F39557</t>
  </si>
  <si>
    <t>RAISMES</t>
  </si>
  <si>
    <t>Report 2016 - RAV gare de RAISMES</t>
  </si>
  <si>
    <t>262000</t>
  </si>
  <si>
    <t>243+965</t>
  </si>
  <si>
    <t>244+363</t>
  </si>
  <si>
    <t>09/06/2014</t>
  </si>
  <si>
    <t>08/11/2014</t>
  </si>
  <si>
    <t>VFF15125 + VFF25210</t>
  </si>
  <si>
    <t>chp 2 rames</t>
  </si>
  <si>
    <t>Calais</t>
  </si>
  <si>
    <t>Arras</t>
  </si>
  <si>
    <t>Lille Delivrance et garolille</t>
  </si>
  <si>
    <t>VFF59525/VFF25510</t>
  </si>
  <si>
    <t>Total ZPFA Lille Delivrance</t>
  </si>
  <si>
    <t>ZPFA Miramas</t>
  </si>
  <si>
    <t>F42890</t>
  </si>
  <si>
    <t>CAGNES</t>
  </si>
  <si>
    <t>RAV Bt 61a et TO V1/VS + RVB, RB/RR</t>
  </si>
  <si>
    <t>211+500</t>
  </si>
  <si>
    <t>211+600</t>
  </si>
  <si>
    <t>F33496</t>
  </si>
  <si>
    <t>cavailon</t>
  </si>
  <si>
    <t>F40999</t>
  </si>
  <si>
    <t>VFF65140/VFF59135</t>
  </si>
  <si>
    <t>Total ZPFA Miramas</t>
  </si>
  <si>
    <t>ZPFA Pantin</t>
  </si>
  <si>
    <t>Vaires</t>
  </si>
  <si>
    <t>F41945</t>
  </si>
  <si>
    <t>Bondy/Noisy</t>
  </si>
  <si>
    <t>F39871</t>
  </si>
  <si>
    <t>Emerainville</t>
  </si>
  <si>
    <t>RAV Emerainville</t>
  </si>
  <si>
    <t>025+796</t>
  </si>
  <si>
    <t>026+237</t>
  </si>
  <si>
    <t>31/01/2016</t>
  </si>
  <si>
    <t>F41151</t>
  </si>
  <si>
    <t>Terminus Evangile phase 2</t>
  </si>
  <si>
    <t>TUAILLON</t>
  </si>
  <si>
    <t>F44163</t>
  </si>
  <si>
    <t>Noisy</t>
  </si>
  <si>
    <t>F44162</t>
  </si>
  <si>
    <t>Pantin</t>
  </si>
  <si>
    <t>VFF15180</t>
  </si>
  <si>
    <t>Total ZPFA Pantin</t>
  </si>
  <si>
    <t>ZPFA Reims</t>
  </si>
  <si>
    <t>VFF15660</t>
  </si>
  <si>
    <t>Total ZPFA Reims</t>
  </si>
  <si>
    <t>ZPFA Rennes</t>
  </si>
  <si>
    <t>VFF35680</t>
  </si>
  <si>
    <t>Total ZPFA Rennes</t>
  </si>
  <si>
    <t>ZPFA Sotteville</t>
  </si>
  <si>
    <t>F28520</t>
  </si>
  <si>
    <t>(Report 2013=&gt;2015 ?) REL de 3 ADV</t>
  </si>
  <si>
    <t>430000</t>
  </si>
  <si>
    <t>084+160</t>
  </si>
  <si>
    <t>084+360</t>
  </si>
  <si>
    <t>06/06/2013</t>
  </si>
  <si>
    <t>NORGOLL</t>
  </si>
  <si>
    <t>F41030</t>
  </si>
  <si>
    <t>PRA Marcey lès Grêves</t>
  </si>
  <si>
    <t>415000</t>
  </si>
  <si>
    <t>090+000</t>
  </si>
  <si>
    <t>093+000</t>
  </si>
  <si>
    <t>LECHEVALLIER</t>
  </si>
  <si>
    <t>VFF35340</t>
  </si>
  <si>
    <t>Total ZPFA Sotteville</t>
  </si>
  <si>
    <t>ZPFA SPDC</t>
  </si>
  <si>
    <t>F35733</t>
  </si>
  <si>
    <t>Artenay-Saran-Cercottes</t>
  </si>
  <si>
    <t>(REPORT de 2011, 2013, 2014 à 2016) RAV des ADV de Artenay ; Saran ; Cercottes</t>
  </si>
  <si>
    <t>100+380</t>
  </si>
  <si>
    <t>114+000</t>
  </si>
  <si>
    <t>18/08/2014</t>
  </si>
  <si>
    <t>annule</t>
  </si>
  <si>
    <t>F36745</t>
  </si>
  <si>
    <t>Report 2014 à 2016 - RRN Limeray Noizay 2013</t>
  </si>
  <si>
    <t>204+000</t>
  </si>
  <si>
    <t>216+500</t>
  </si>
  <si>
    <t>02/01/2014</t>
  </si>
  <si>
    <t>BOULANGER</t>
  </si>
  <si>
    <t>F36753</t>
  </si>
  <si>
    <t>Artenay</t>
  </si>
  <si>
    <t>Report 2016 - ARTENAY  REMPLACEMENT ADV 2013</t>
  </si>
  <si>
    <t>098+500</t>
  </si>
  <si>
    <t>103+200</t>
  </si>
  <si>
    <t>18/03/2013</t>
  </si>
  <si>
    <t>12/04/2013</t>
  </si>
  <si>
    <t>F36776</t>
  </si>
  <si>
    <t>TOURS - ST COME</t>
  </si>
  <si>
    <t>RAV BS 1,2,3 TOURS ST COME</t>
  </si>
  <si>
    <t>confirmé</t>
  </si>
  <si>
    <t>F42887</t>
  </si>
  <si>
    <t>Vierzon Forges</t>
  </si>
  <si>
    <t>RAV Vierzon Forges</t>
  </si>
  <si>
    <t>204+560</t>
  </si>
  <si>
    <t>204+720</t>
  </si>
  <si>
    <t>F43119</t>
  </si>
  <si>
    <t>Noyant</t>
  </si>
  <si>
    <t>suppression diagonale OP Ste Maure de Touraine</t>
  </si>
  <si>
    <t>269+000</t>
  </si>
  <si>
    <t>270+000</t>
  </si>
  <si>
    <t>31/10/2016</t>
  </si>
  <si>
    <t>F43369</t>
  </si>
  <si>
    <t>demande client en C12</t>
  </si>
  <si>
    <t>PLKN728</t>
  </si>
  <si>
    <t>VFF45220</t>
  </si>
  <si>
    <t>Total ZPFA SPDC</t>
  </si>
  <si>
    <t>ZPFA St Florentin</t>
  </si>
  <si>
    <t>F36815</t>
  </si>
  <si>
    <t>Voutenay</t>
  </si>
  <si>
    <t>Remplacement du PRa de Voutenay sur le Vau de Bouche</t>
  </si>
  <si>
    <t>755000</t>
  </si>
  <si>
    <t>209+309</t>
  </si>
  <si>
    <t>206+326</t>
  </si>
  <si>
    <t>23/09/2016</t>
  </si>
  <si>
    <t>PALICOT</t>
  </si>
  <si>
    <t>F43622</t>
  </si>
  <si>
    <t>RAV BS 911 + RVB</t>
  </si>
  <si>
    <t>172+435</t>
  </si>
  <si>
    <t>173+844</t>
  </si>
  <si>
    <t>25/01/2016</t>
  </si>
  <si>
    <t>MOUROT</t>
  </si>
  <si>
    <t>PR5002</t>
  </si>
  <si>
    <t>Valenton : RAV de 5 appareils (4TJ et 1 TO)</t>
  </si>
  <si>
    <t>076+800</t>
  </si>
  <si>
    <t>077+100</t>
  </si>
  <si>
    <t>03/01/2016</t>
  </si>
  <si>
    <t>11/03/2016</t>
  </si>
  <si>
    <t>MARCHAL</t>
  </si>
  <si>
    <t>F43626</t>
  </si>
  <si>
    <t>Paris Lyon</t>
  </si>
  <si>
    <t>RAV BS Paris Conflans</t>
  </si>
  <si>
    <t>29/02/2016</t>
  </si>
  <si>
    <t>VERGEREAU</t>
  </si>
  <si>
    <t>F43764</t>
  </si>
  <si>
    <t>Melun</t>
  </si>
  <si>
    <t>RAV BS 208 et 210a + TJD 210b/220a</t>
  </si>
  <si>
    <t>044+350</t>
  </si>
  <si>
    <t>044+450</t>
  </si>
  <si>
    <t>F28734</t>
  </si>
  <si>
    <t>Paris gare de lyon</t>
  </si>
  <si>
    <t>PAI gare de lyon</t>
  </si>
  <si>
    <t>F43942</t>
  </si>
  <si>
    <t>VSG</t>
  </si>
  <si>
    <t>RAV + RVB V2 quater/ Voie C Lavage</t>
  </si>
  <si>
    <t>000+250</t>
  </si>
  <si>
    <t>001+350</t>
  </si>
  <si>
    <t>21/01/2016</t>
  </si>
  <si>
    <t>fer OFI</t>
  </si>
  <si>
    <t>VFF55120</t>
  </si>
  <si>
    <t>Total ZPFA St Florentin</t>
  </si>
  <si>
    <t>ZPFA St Jory</t>
  </si>
  <si>
    <t>F42154</t>
  </si>
  <si>
    <t>St Jory et Toulouse</t>
  </si>
  <si>
    <t>RB, RT, RAV</t>
  </si>
  <si>
    <t>000+244</t>
  </si>
  <si>
    <t>000+256</t>
  </si>
  <si>
    <t>F36115</t>
  </si>
  <si>
    <t>st jory</t>
  </si>
  <si>
    <t>VFF45560</t>
  </si>
  <si>
    <t>Total ZPFA St Jory</t>
  </si>
  <si>
    <t>ZPFA St Priest</t>
  </si>
  <si>
    <t>F40099</t>
  </si>
  <si>
    <t>Sathonay-St Clair</t>
  </si>
  <si>
    <t>Tunnel Mercières Voie 2</t>
  </si>
  <si>
    <t>752330</t>
  </si>
  <si>
    <t>390+072</t>
  </si>
  <si>
    <t>393+875</t>
  </si>
  <si>
    <t>F43818</t>
  </si>
  <si>
    <t>Montluel, Lyon St Clair</t>
  </si>
  <si>
    <t>RAV Bt 81a, 82a, 103, 104, 105 et 106 + TO X106</t>
  </si>
  <si>
    <t>008+120</t>
  </si>
  <si>
    <t>024+940</t>
  </si>
  <si>
    <t>15/06/2016</t>
  </si>
  <si>
    <t>F43579</t>
  </si>
  <si>
    <t>Salaise sur Sanne</t>
  </si>
  <si>
    <t>RAV BS C et TJS Da/Db Salaise</t>
  </si>
  <si>
    <t>000+567</t>
  </si>
  <si>
    <t>000+059</t>
  </si>
  <si>
    <t>VFF55460</t>
  </si>
  <si>
    <t>Total ZPFA St Priest</t>
  </si>
  <si>
    <t>ZPFA Tergnier</t>
  </si>
  <si>
    <t>F44365</t>
  </si>
  <si>
    <t>RR rail americain Creil-Jeumont</t>
  </si>
  <si>
    <t>VFF25320</t>
  </si>
  <si>
    <t>Longueuil ste marie</t>
  </si>
  <si>
    <t>Chaulnes</t>
  </si>
  <si>
    <t>Total ZPFA Tergnier</t>
  </si>
  <si>
    <t>ZPFA Trappes</t>
  </si>
  <si>
    <t xml:space="preserve">à servir en 3 fois </t>
  </si>
  <si>
    <t>Tolbiac</t>
  </si>
  <si>
    <t>F40310</t>
  </si>
  <si>
    <t>TRAPPES</t>
  </si>
  <si>
    <t>RAV TRAPPES</t>
  </si>
  <si>
    <t>026+500</t>
  </si>
  <si>
    <t>028+500</t>
  </si>
  <si>
    <t>F43165</t>
  </si>
  <si>
    <t>RVB + RAV Brétigny</t>
  </si>
  <si>
    <t>031+000</t>
  </si>
  <si>
    <t>031+200</t>
  </si>
  <si>
    <t>F43208</t>
  </si>
  <si>
    <t>Brétigny</t>
  </si>
  <si>
    <t>2 RAV + RVB+ Racco</t>
  </si>
  <si>
    <t>031+135</t>
  </si>
  <si>
    <t>032+418</t>
  </si>
  <si>
    <t>04/11/2016</t>
  </si>
  <si>
    <t>F43593</t>
  </si>
  <si>
    <t>Choisy le Roi</t>
  </si>
  <si>
    <t>RVB Choisy - Ivry</t>
  </si>
  <si>
    <t>010+150</t>
  </si>
  <si>
    <t>010+500</t>
  </si>
  <si>
    <t>PERES</t>
  </si>
  <si>
    <t>F43594</t>
  </si>
  <si>
    <t>RAV BS Athis Mons + RVB</t>
  </si>
  <si>
    <t>016+830</t>
  </si>
  <si>
    <t>017+180</t>
  </si>
  <si>
    <t>15/10/2016</t>
  </si>
  <si>
    <t>Epernon-Jouy</t>
  </si>
  <si>
    <t>F43615</t>
  </si>
  <si>
    <t>RAV Diagonale Poste A Brétigny + RVB</t>
  </si>
  <si>
    <t>PSIG CentreNordParis</t>
  </si>
  <si>
    <t>JUVISY</t>
  </si>
  <si>
    <t>Villeneuve le roi / Epinay sur Orge</t>
  </si>
  <si>
    <t>F44295</t>
  </si>
  <si>
    <t>MASSY</t>
  </si>
  <si>
    <t>RAV Massy Palaiseau 2016</t>
  </si>
  <si>
    <t>105+400</t>
  </si>
  <si>
    <t>106+500</t>
  </si>
  <si>
    <t>CASTELAN</t>
  </si>
  <si>
    <t>F44373</t>
  </si>
  <si>
    <t>Etampes</t>
  </si>
  <si>
    <t>RAV Etampes 2016</t>
  </si>
  <si>
    <t>054+050</t>
  </si>
  <si>
    <t>054+150</t>
  </si>
  <si>
    <t>VFF35220/VFF45130</t>
  </si>
  <si>
    <t>Total ZPFA Trappes</t>
  </si>
  <si>
    <t>Total général</t>
  </si>
  <si>
    <t>Prévision Ajustée</t>
  </si>
  <si>
    <t>LESSINES / QUENAST</t>
  </si>
  <si>
    <t>INFRARAIL : code</t>
  </si>
  <si>
    <t>Période</t>
  </si>
  <si>
    <t>Famille</t>
  </si>
  <si>
    <t>Sous famille</t>
  </si>
  <si>
    <t>Transporteur</t>
  </si>
  <si>
    <t>Description contrat</t>
  </si>
  <si>
    <t>Flux amont ou aval</t>
  </si>
  <si>
    <t>TE ou WI</t>
  </si>
  <si>
    <t>J</t>
  </si>
  <si>
    <t>M</t>
  </si>
  <si>
    <t>S</t>
  </si>
  <si>
    <t>O</t>
  </si>
  <si>
    <t>N</t>
  </si>
  <si>
    <t>Alimentation</t>
  </si>
  <si>
    <t>Neutralisé (1 = oui)</t>
  </si>
  <si>
    <t>Source</t>
  </si>
  <si>
    <t>Formule cumul (1 = cumul)</t>
  </si>
  <si>
    <t>Ballast</t>
  </si>
  <si>
    <t>Evelyne</t>
  </si>
  <si>
    <t>Factures fournisseur</t>
  </si>
  <si>
    <t>€ / T hors pénalité</t>
  </si>
  <si>
    <t>€ /T pénalité</t>
  </si>
  <si>
    <t>Fret</t>
  </si>
  <si>
    <t>Ballast Fret Socle</t>
  </si>
  <si>
    <t>Pénalité faute Fret</t>
  </si>
  <si>
    <t>€ / T hors pénalité hors vide</t>
  </si>
  <si>
    <t>Ballast Fret Train à la Cde</t>
  </si>
  <si>
    <t>€ / T hors pénalité moy pondéré sur les 2 contrats</t>
  </si>
  <si>
    <t>€ /T pénalité moy pondéré sur les 2 contrats</t>
  </si>
  <si>
    <t>Rails</t>
  </si>
  <si>
    <t>Rail Fret</t>
  </si>
  <si>
    <t>pénalités juillet faute fournisseurs :</t>
  </si>
  <si>
    <t>Rail Fret Train à la Cde</t>
  </si>
  <si>
    <t>Nb de trains vides</t>
  </si>
  <si>
    <t>Autres</t>
  </si>
  <si>
    <t>Autre Fret</t>
  </si>
  <si>
    <t>traverses</t>
  </si>
  <si>
    <t>Pénalité faute fournisseur</t>
  </si>
  <si>
    <t>Ballast Géoparts</t>
  </si>
  <si>
    <t>Serge</t>
  </si>
  <si>
    <t>Reporting Fournisseur</t>
  </si>
  <si>
    <t>TBA</t>
  </si>
  <si>
    <t>TBA Géoparts</t>
  </si>
  <si>
    <t>Lot 4</t>
  </si>
  <si>
    <t>Nombre de traverses</t>
  </si>
  <si>
    <t>Autres Géoparts</t>
  </si>
  <si>
    <t>Lot 1 = Messagerie</t>
  </si>
  <si>
    <t>Lot 2 = Touret et câble</t>
  </si>
  <si>
    <t>Lot 3 = bois sous rail</t>
  </si>
  <si>
    <t>Lot 5 = Grande longueur</t>
  </si>
  <si>
    <t>Aval</t>
  </si>
  <si>
    <t>Jérôme</t>
  </si>
  <si>
    <t>FG (G Bost) - Distinction facture fr</t>
  </si>
  <si>
    <t>Amont</t>
  </si>
  <si>
    <t>FG (Nelly)- Distinction facture fr</t>
  </si>
  <si>
    <t>Ballast OFI</t>
  </si>
  <si>
    <t>CF</t>
  </si>
  <si>
    <t>TE</t>
  </si>
  <si>
    <t>Anafi - Barème RFF</t>
  </si>
  <si>
    <t>WI</t>
  </si>
  <si>
    <t>APV</t>
  </si>
  <si>
    <t>Rails OFI</t>
  </si>
  <si>
    <t>LRS</t>
  </si>
  <si>
    <t>TBA OFI</t>
  </si>
  <si>
    <t>BSR</t>
  </si>
  <si>
    <t>Autres OFI</t>
  </si>
  <si>
    <t>Hors CF</t>
  </si>
  <si>
    <t>Pénalité du fournisseur</t>
  </si>
  <si>
    <t>mensualisation contrat</t>
  </si>
  <si>
    <t>BSR Fret</t>
  </si>
  <si>
    <t>Pénalité du client</t>
  </si>
  <si>
    <t>Lot 1 + 2 + 5</t>
  </si>
  <si>
    <t>SEA</t>
  </si>
  <si>
    <t>Ballast barge</t>
  </si>
  <si>
    <t>Mois</t>
  </si>
  <si>
    <t>JANVIER</t>
  </si>
  <si>
    <t>MARS</t>
  </si>
  <si>
    <t>AVRIL</t>
  </si>
  <si>
    <t>MAI</t>
  </si>
  <si>
    <t>SEPTEMBRE</t>
  </si>
  <si>
    <t>OCTOBRE</t>
  </si>
  <si>
    <t>NOVEMBRE</t>
  </si>
  <si>
    <t xml:space="preserve"> Tonne </t>
  </si>
  <si>
    <t>Montant €</t>
  </si>
  <si>
    <t>FEVRIER</t>
  </si>
  <si>
    <t>Réalisé à fin Janvier (A)</t>
  </si>
  <si>
    <t>Réalisé à fin Février (A)</t>
  </si>
  <si>
    <t>Réalisé à fin Mars (A)</t>
  </si>
  <si>
    <t>AOUT</t>
  </si>
  <si>
    <t>DECEMBRE</t>
  </si>
  <si>
    <t>Réalisé à fin Avril (A)</t>
  </si>
  <si>
    <t>Réalisé à fin Mai (A)</t>
  </si>
  <si>
    <t>Réalisé à fin Juin (A)</t>
  </si>
  <si>
    <t>Réalisé à fin Juillet (A)</t>
  </si>
  <si>
    <t>Réalisé à fin Août (A)</t>
  </si>
  <si>
    <t>Réalisé à fin Septembre(A)</t>
  </si>
  <si>
    <t>Réalisé à fin Octobre (A)</t>
  </si>
  <si>
    <t>Réalisé à fin Novembre (A)</t>
  </si>
  <si>
    <t>Réalisé à fin Décembre (A)</t>
  </si>
  <si>
    <t>nb de trains restant (1100)</t>
  </si>
  <si>
    <t>€ / T annuel réalisé</t>
  </si>
  <si>
    <t>VERNEUIL</t>
  </si>
  <si>
    <t>Tonne</t>
  </si>
  <si>
    <t>Cumul Route</t>
  </si>
  <si>
    <t>Total Fer / Route</t>
  </si>
  <si>
    <t>Cumul Fer</t>
  </si>
  <si>
    <t>Mensuelle</t>
  </si>
  <si>
    <t>Colonne1</t>
  </si>
  <si>
    <t>Prévision cumulée 01/01</t>
  </si>
  <si>
    <t>Prévision cumulée ajustée</t>
  </si>
  <si>
    <t>Mensuel</t>
  </si>
  <si>
    <t xml:space="preserve">Cumul Fer </t>
  </si>
  <si>
    <t>Prévision cumulée au 01/01</t>
  </si>
  <si>
    <t>Prévison ajustée cumulée</t>
  </si>
  <si>
    <t>INDICATEURS</t>
  </si>
  <si>
    <t>NORD EST</t>
  </si>
  <si>
    <t>Prévision ajustée cumulée</t>
  </si>
  <si>
    <t>TONNAGE PAR BASSIN</t>
  </si>
  <si>
    <t>BASSIN SUD</t>
  </si>
  <si>
    <t>BASSIN NORD OUEST</t>
  </si>
  <si>
    <t>BASSIN NORD EST</t>
  </si>
  <si>
    <t xml:space="preserve">% d'avancement </t>
  </si>
  <si>
    <t>Prévision au 01/01</t>
  </si>
  <si>
    <t>Prévision ajustée</t>
  </si>
  <si>
    <t>Total Fer / Route N-1</t>
  </si>
  <si>
    <t>MÂCON</t>
  </si>
  <si>
    <t>Variation N-1</t>
  </si>
  <si>
    <t>BUDGET-REEL PAR TRANSPORTEUR</t>
  </si>
  <si>
    <t>€ / T ANNUEL</t>
  </si>
  <si>
    <t>BASE DE DONNEES GRAPHIQUE ACCOSTAGE</t>
  </si>
  <si>
    <t>BASE DE DONNEES - ACCOSTAGE</t>
  </si>
  <si>
    <t>ACCOSTAGE</t>
  </si>
  <si>
    <t>MAJ : 23/03/2016</t>
  </si>
  <si>
    <t>Cumulé</t>
  </si>
  <si>
    <t>REPARTITION DES CTR</t>
  </si>
  <si>
    <t>TABLEAU DE BORD - BALLAST</t>
  </si>
  <si>
    <t>Mois antérieurs cumulés</t>
  </si>
  <si>
    <t>BUDGET - REEL</t>
  </si>
  <si>
    <t>VOLUME TOTAL BALLAST</t>
  </si>
  <si>
    <t>VOLUME BALLAST PAR BASSIN</t>
  </si>
  <si>
    <t xml:space="preserve">IMPRESSION : </t>
  </si>
  <si>
    <t>BUDGET - REEL PAR TRANSPORTEUR</t>
  </si>
  <si>
    <t>LEGENDES</t>
  </si>
  <si>
    <t xml:space="preserve">Mois antérieur </t>
  </si>
  <si>
    <t>SUD MENSUEL</t>
  </si>
  <si>
    <t>VOLUME BALLAST TOTAL</t>
  </si>
  <si>
    <t>Variation</t>
  </si>
  <si>
    <t>BASE DE DONNEES - TABLEAU DE BORD</t>
  </si>
  <si>
    <t>NORD EST MENSUEL</t>
  </si>
  <si>
    <t>NORD OUEST MENSUEL</t>
  </si>
  <si>
    <t>Derniers mois connus</t>
  </si>
  <si>
    <t>Evol</t>
  </si>
  <si>
    <t>Dernier mois connu par rapport à l'avant dernier mois connu</t>
  </si>
  <si>
    <t>Dernier mois connu par rapport à la moyenne des mois antérieurs</t>
  </si>
  <si>
    <t>Moyennes</t>
  </si>
  <si>
    <t>Dernier mois connus</t>
  </si>
  <si>
    <t>Variation par rapport à N-1</t>
  </si>
  <si>
    <t>Mois antérieurs au dernier mois connu</t>
  </si>
  <si>
    <t>Moyennes mois antérieurs au dernier mois connu</t>
  </si>
  <si>
    <t xml:space="preserve">Cumul Total Fer / Route </t>
  </si>
  <si>
    <t>Cumul Total Fer / Route N-1</t>
  </si>
  <si>
    <t>Cumul Total Fer / Route</t>
  </si>
  <si>
    <t>Variation par rapport à N-1 / Volume Total</t>
  </si>
  <si>
    <t>Moyenne mois antérieurs</t>
  </si>
  <si>
    <t>Mois antérieur</t>
  </si>
  <si>
    <t>par bassins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</si>
</sst>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_ ;\-#,##0\ "/>
    <numFmt numFmtId="165" formatCode="#,##0\ _€"/>
    <numFmt numFmtId="166" formatCode="#,##0.00_ ;\-#,##0.00\ 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36"/>
      <color theme="4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51"/>
      <name val="Calibri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b/>
      <sz val="24"/>
      <color theme="4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6"/>
      <name val="Calibri"/>
      <family val="2"/>
      <scheme val="minor"/>
    </font>
    <font>
      <b/>
      <sz val="8"/>
      <color theme="9"/>
      <name val="Calibri"/>
      <family val="2"/>
      <scheme val="minor"/>
    </font>
    <font>
      <b/>
      <sz val="8"/>
      <color rgb="FFCC3399"/>
      <name val="Calibri"/>
      <family val="2"/>
      <scheme val="minor"/>
    </font>
    <font>
      <b/>
      <sz val="8"/>
      <color theme="8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8"/>
      <color theme="6" tint="-0.249977111117893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8"/>
      <color rgb="FFCC99FF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theme="0" tint="-0.14999847407452621"/>
      <name val="Calibri"/>
      <family val="2"/>
      <scheme val="minor"/>
    </font>
    <font>
      <b/>
      <sz val="9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22"/>
      <color theme="4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8.9"/>
      <color rgb="FF303030"/>
      <name val="Arial"/>
      <family val="2"/>
    </font>
    <font>
      <sz val="10"/>
      <color rgb="FF303030"/>
      <name val="Arial"/>
      <family val="2"/>
    </font>
    <font>
      <sz val="9"/>
      <color rgb="FF303030"/>
      <name val="Calibri"/>
      <family val="2"/>
      <scheme val="minor"/>
    </font>
    <font>
      <sz val="11"/>
      <name val="Arial"/>
      <family val="2"/>
    </font>
    <font>
      <sz val="11"/>
      <name val="Consolas"/>
      <family val="3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CD2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781D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</fills>
  <borders count="1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120">
    <xf numFmtId="0" fontId="0" fillId="0" borderId="0"/>
    <xf numFmtId="0" fontId="18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5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4" fillId="0" borderId="0" applyNumberFormat="0" applyFill="0" applyBorder="0" applyAlignment="0" applyProtection="0"/>
    <xf numFmtId="0" fontId="21" fillId="36" borderId="0" applyNumberFormat="0" applyBorder="0" applyAlignment="0" applyProtection="0"/>
    <xf numFmtId="0" fontId="11" fillId="6" borderId="4" applyNumberFormat="0" applyAlignment="0" applyProtection="0"/>
    <xf numFmtId="0" fontId="22" fillId="49" borderId="25" applyNumberFormat="0" applyAlignment="0" applyProtection="0"/>
    <xf numFmtId="0" fontId="12" fillId="0" borderId="6" applyNumberFormat="0" applyFill="0" applyAlignment="0" applyProtection="0"/>
    <xf numFmtId="0" fontId="23" fillId="50" borderId="26" applyNumberFormat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8" borderId="8" applyNumberFormat="0" applyFont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9" fillId="5" borderId="4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7" borderId="0" applyNumberFormat="0" applyBorder="0" applyAlignment="0" applyProtection="0"/>
    <xf numFmtId="0" fontId="26" fillId="0" borderId="27" applyNumberFormat="0" applyFill="0" applyAlignment="0" applyProtection="0"/>
    <xf numFmtId="0" fontId="27" fillId="0" borderId="28" applyNumberFormat="0" applyFill="0" applyAlignment="0" applyProtection="0"/>
    <xf numFmtId="0" fontId="28" fillId="0" borderId="29" applyNumberFormat="0" applyFill="0" applyAlignment="0" applyProtection="0"/>
    <xf numFmtId="0" fontId="28" fillId="0" borderId="0" applyNumberFormat="0" applyFill="0" applyBorder="0" applyAlignment="0" applyProtection="0"/>
    <xf numFmtId="0" fontId="29" fillId="40" borderId="25" applyNumberFormat="0" applyAlignment="0" applyProtection="0"/>
    <xf numFmtId="0" fontId="7" fillId="3" borderId="0" applyNumberFormat="0" applyBorder="0" applyAlignment="0" applyProtection="0"/>
    <xf numFmtId="0" fontId="30" fillId="0" borderId="30" applyNumberFormat="0" applyFill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1" fillId="51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32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9" fillId="52" borderId="31" applyNumberFormat="0" applyFont="0" applyAlignment="0" applyProtection="0"/>
    <xf numFmtId="0" fontId="33" fillId="49" borderId="32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2" borderId="0" applyNumberFormat="0" applyBorder="0" applyAlignment="0" applyProtection="0"/>
    <xf numFmtId="0" fontId="10" fillId="6" borderId="5" applyNumberFormat="0" applyAlignment="0" applyProtection="0"/>
    <xf numFmtId="0" fontId="34" fillId="0" borderId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3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8">
    <xf numFmtId="0" fontId="0" fillId="0" borderId="0" xfId="0"/>
    <xf numFmtId="0" fontId="0" fillId="0" borderId="17" xfId="0" applyBorder="1"/>
    <xf numFmtId="0" fontId="0" fillId="0" borderId="12" xfId="0" applyBorder="1"/>
    <xf numFmtId="0" fontId="0" fillId="0" borderId="10" xfId="0" applyBorder="1"/>
    <xf numFmtId="0" fontId="0" fillId="0" borderId="15" xfId="0" applyBorder="1"/>
    <xf numFmtId="0" fontId="0" fillId="0" borderId="20" xfId="0" applyBorder="1"/>
    <xf numFmtId="0" fontId="0" fillId="0" borderId="21" xfId="0" applyBorder="1"/>
    <xf numFmtId="0" fontId="0" fillId="0" borderId="0" xfId="0" applyFill="1"/>
    <xf numFmtId="0" fontId="0" fillId="0" borderId="23" xfId="0" applyBorder="1"/>
    <xf numFmtId="3" fontId="0" fillId="0" borderId="17" xfId="0" applyNumberFormat="1" applyBorder="1"/>
    <xf numFmtId="0" fontId="0" fillId="0" borderId="0" xfId="0" applyFill="1" applyBorder="1"/>
    <xf numFmtId="0" fontId="0" fillId="0" borderId="0" xfId="0" applyBorder="1"/>
    <xf numFmtId="0" fontId="0" fillId="55" borderId="17" xfId="0" applyFill="1" applyBorder="1"/>
    <xf numFmtId="0" fontId="0" fillId="56" borderId="17" xfId="0" applyFill="1" applyBorder="1"/>
    <xf numFmtId="0" fontId="0" fillId="0" borderId="33" xfId="0" applyBorder="1"/>
    <xf numFmtId="0" fontId="0" fillId="0" borderId="35" xfId="0" applyBorder="1"/>
    <xf numFmtId="0" fontId="0" fillId="54" borderId="33" xfId="0" applyFill="1" applyBorder="1"/>
    <xf numFmtId="0" fontId="0" fillId="58" borderId="20" xfId="0" applyFill="1" applyBorder="1"/>
    <xf numFmtId="0" fontId="0" fillId="58" borderId="10" xfId="0" applyFill="1" applyBorder="1"/>
    <xf numFmtId="0" fontId="0" fillId="58" borderId="21" xfId="0" applyFill="1" applyBorder="1"/>
    <xf numFmtId="0" fontId="0" fillId="58" borderId="15" xfId="0" applyFill="1" applyBorder="1"/>
    <xf numFmtId="0" fontId="0" fillId="0" borderId="35" xfId="0" applyFill="1" applyBorder="1"/>
    <xf numFmtId="0" fontId="0" fillId="0" borderId="40" xfId="0" applyFill="1" applyBorder="1"/>
    <xf numFmtId="0" fontId="0" fillId="0" borderId="36" xfId="0" applyFill="1" applyBorder="1"/>
    <xf numFmtId="0" fontId="0" fillId="59" borderId="17" xfId="0" applyFill="1" applyBorder="1"/>
    <xf numFmtId="0" fontId="0" fillId="60" borderId="17" xfId="0" applyFill="1" applyBorder="1"/>
    <xf numFmtId="0" fontId="0" fillId="61" borderId="33" xfId="0" applyFill="1" applyBorder="1"/>
    <xf numFmtId="0" fontId="0" fillId="61" borderId="35" xfId="0" applyFill="1" applyBorder="1"/>
    <xf numFmtId="0" fontId="0" fillId="62" borderId="34" xfId="0" applyFill="1" applyBorder="1"/>
    <xf numFmtId="0" fontId="0" fillId="62" borderId="36" xfId="0" applyFill="1" applyBorder="1"/>
    <xf numFmtId="0" fontId="0" fillId="0" borderId="41" xfId="0" applyBorder="1"/>
    <xf numFmtId="0" fontId="0" fillId="61" borderId="41" xfId="0" applyFill="1" applyBorder="1"/>
    <xf numFmtId="0" fontId="0" fillId="62" borderId="43" xfId="0" applyFill="1" applyBorder="1"/>
    <xf numFmtId="0" fontId="0" fillId="55" borderId="11" xfId="0" applyFill="1" applyBorder="1"/>
    <xf numFmtId="0" fontId="0" fillId="56" borderId="11" xfId="0" applyFill="1" applyBorder="1"/>
    <xf numFmtId="0" fontId="0" fillId="54" borderId="50" xfId="0" applyFill="1" applyBorder="1"/>
    <xf numFmtId="0" fontId="0" fillId="54" borderId="53" xfId="0" applyFill="1" applyBorder="1"/>
    <xf numFmtId="0" fontId="0" fillId="64" borderId="17" xfId="0" applyFill="1" applyBorder="1"/>
    <xf numFmtId="0" fontId="0" fillId="57" borderId="39" xfId="0" applyFill="1" applyBorder="1"/>
    <xf numFmtId="0" fontId="0" fillId="57" borderId="40" xfId="0" applyFill="1" applyBorder="1"/>
    <xf numFmtId="0" fontId="0" fillId="57" borderId="42" xfId="0" applyFill="1" applyBorder="1"/>
    <xf numFmtId="0" fontId="0" fillId="60" borderId="19" xfId="0" applyFill="1" applyBorder="1"/>
    <xf numFmtId="0" fontId="0" fillId="64" borderId="19" xfId="0" applyFill="1" applyBorder="1"/>
    <xf numFmtId="0" fontId="39" fillId="65" borderId="12" xfId="0" applyFont="1" applyFill="1" applyBorder="1" applyAlignment="1">
      <alignment horizontal="center" vertical="center"/>
    </xf>
    <xf numFmtId="0" fontId="0" fillId="65" borderId="20" xfId="0" applyFill="1" applyBorder="1" applyAlignment="1">
      <alignment horizontal="right" vertical="center"/>
    </xf>
    <xf numFmtId="0" fontId="41" fillId="65" borderId="10" xfId="0" applyFont="1" applyFill="1" applyBorder="1" applyAlignment="1">
      <alignment horizontal="center" vertical="center"/>
    </xf>
    <xf numFmtId="0" fontId="41" fillId="65" borderId="20" xfId="0" applyFont="1" applyFill="1" applyBorder="1"/>
    <xf numFmtId="0" fontId="40" fillId="53" borderId="0" xfId="0" applyFont="1" applyFill="1" applyBorder="1" applyAlignment="1">
      <alignment horizontal="center" vertical="center"/>
    </xf>
    <xf numFmtId="0" fontId="40" fillId="53" borderId="16" xfId="0" applyFont="1" applyFill="1" applyBorder="1" applyAlignment="1">
      <alignment horizontal="center" vertical="center"/>
    </xf>
    <xf numFmtId="0" fontId="40" fillId="53" borderId="13" xfId="0" applyFont="1" applyFill="1" applyBorder="1" applyAlignment="1">
      <alignment horizontal="center" vertical="center"/>
    </xf>
    <xf numFmtId="0" fontId="40" fillId="53" borderId="24" xfId="0" applyFont="1" applyFill="1" applyBorder="1" applyAlignment="1">
      <alignment horizontal="center" vertical="center"/>
    </xf>
    <xf numFmtId="3" fontId="0" fillId="0" borderId="33" xfId="0" applyNumberFormat="1" applyBorder="1"/>
    <xf numFmtId="3" fontId="0" fillId="0" borderId="54" xfId="0" applyNumberFormat="1" applyBorder="1"/>
    <xf numFmtId="3" fontId="0" fillId="0" borderId="35" xfId="0" applyNumberFormat="1" applyBorder="1"/>
    <xf numFmtId="3" fontId="0" fillId="0" borderId="55" xfId="0" applyNumberFormat="1" applyBorder="1"/>
    <xf numFmtId="3" fontId="0" fillId="61" borderId="44" xfId="0" applyNumberFormat="1" applyFill="1" applyBorder="1" applyAlignment="1">
      <alignment horizontal="right" vertical="center"/>
    </xf>
    <xf numFmtId="3" fontId="0" fillId="61" borderId="47" xfId="0" applyNumberFormat="1" applyFill="1" applyBorder="1" applyAlignment="1">
      <alignment horizontal="right" vertical="center"/>
    </xf>
    <xf numFmtId="3" fontId="0" fillId="0" borderId="41" xfId="0" applyNumberFormat="1" applyBorder="1"/>
    <xf numFmtId="3" fontId="0" fillId="0" borderId="56" xfId="0" applyNumberFormat="1" applyBorder="1"/>
    <xf numFmtId="0" fontId="0" fillId="58" borderId="17" xfId="0" applyFont="1" applyFill="1" applyBorder="1" applyAlignment="1">
      <alignment horizontal="center" vertical="center"/>
    </xf>
    <xf numFmtId="0" fontId="0" fillId="34" borderId="11" xfId="0" applyFill="1" applyBorder="1"/>
    <xf numFmtId="0" fontId="0" fillId="68" borderId="16" xfId="0" applyFill="1" applyBorder="1"/>
    <xf numFmtId="0" fontId="0" fillId="56" borderId="16" xfId="0" applyFill="1" applyBorder="1"/>
    <xf numFmtId="0" fontId="0" fillId="0" borderId="20" xfId="0" applyFill="1" applyBorder="1"/>
    <xf numFmtId="3" fontId="0" fillId="57" borderId="34" xfId="0" applyNumberFormat="1" applyFill="1" applyBorder="1"/>
    <xf numFmtId="3" fontId="0" fillId="54" borderId="33" xfId="0" applyNumberFormat="1" applyFill="1" applyBorder="1"/>
    <xf numFmtId="0" fontId="0" fillId="0" borderId="24" xfId="0" applyBorder="1"/>
    <xf numFmtId="3" fontId="0" fillId="54" borderId="35" xfId="0" applyNumberFormat="1" applyFill="1" applyBorder="1"/>
    <xf numFmtId="3" fontId="0" fillId="57" borderId="36" xfId="0" applyNumberFormat="1" applyFill="1" applyBorder="1"/>
    <xf numFmtId="4" fontId="0" fillId="54" borderId="37" xfId="0" applyNumberFormat="1" applyFill="1" applyBorder="1"/>
    <xf numFmtId="4" fontId="0" fillId="57" borderId="38" xfId="0" applyNumberFormat="1" applyFill="1" applyBorder="1"/>
    <xf numFmtId="164" fontId="0" fillId="54" borderId="33" xfId="118" applyNumberFormat="1" applyFont="1" applyFill="1" applyBorder="1" applyAlignment="1"/>
    <xf numFmtId="164" fontId="0" fillId="57" borderId="34" xfId="118" applyNumberFormat="1" applyFont="1" applyFill="1" applyBorder="1" applyAlignment="1"/>
    <xf numFmtId="164" fontId="0" fillId="54" borderId="35" xfId="118" applyNumberFormat="1" applyFont="1" applyFill="1" applyBorder="1" applyAlignment="1"/>
    <xf numFmtId="164" fontId="0" fillId="57" borderId="36" xfId="118" applyNumberFormat="1" applyFont="1" applyFill="1" applyBorder="1" applyAlignment="1"/>
    <xf numFmtId="3" fontId="0" fillId="54" borderId="51" xfId="0" applyNumberFormat="1" applyFill="1" applyBorder="1"/>
    <xf numFmtId="0" fontId="44" fillId="0" borderId="44" xfId="0" applyFont="1" applyBorder="1"/>
    <xf numFmtId="0" fontId="44" fillId="0" borderId="45" xfId="0" applyFont="1" applyBorder="1"/>
    <xf numFmtId="0" fontId="44" fillId="0" borderId="46" xfId="0" applyFont="1" applyBorder="1"/>
    <xf numFmtId="0" fontId="44" fillId="0" borderId="47" xfId="0" applyFont="1" applyBorder="1"/>
    <xf numFmtId="0" fontId="44" fillId="33" borderId="44" xfId="0" applyFont="1" applyFill="1" applyBorder="1"/>
    <xf numFmtId="0" fontId="44" fillId="0" borderId="48" xfId="0" applyFont="1" applyBorder="1"/>
    <xf numFmtId="0" fontId="44" fillId="33" borderId="45" xfId="0" applyFont="1" applyFill="1" applyBorder="1"/>
    <xf numFmtId="0" fontId="44" fillId="0" borderId="49" xfId="0" applyFont="1" applyBorder="1"/>
    <xf numFmtId="0" fontId="44" fillId="0" borderId="46" xfId="0" applyFont="1" applyFill="1" applyBorder="1"/>
    <xf numFmtId="0" fontId="44" fillId="0" borderId="44" xfId="0" applyFont="1" applyFill="1" applyBorder="1"/>
    <xf numFmtId="0" fontId="44" fillId="0" borderId="45" xfId="0" applyFont="1" applyFill="1" applyBorder="1"/>
    <xf numFmtId="0" fontId="46" fillId="60" borderId="16" xfId="0" applyFont="1" applyFill="1" applyBorder="1" applyAlignment="1">
      <alignment horizontal="center" vertical="center"/>
    </xf>
    <xf numFmtId="0" fontId="47" fillId="59" borderId="16" xfId="0" applyFont="1" applyFill="1" applyBorder="1" applyAlignment="1">
      <alignment horizontal="center" vertical="center"/>
    </xf>
    <xf numFmtId="0" fontId="45" fillId="64" borderId="16" xfId="0" applyFont="1" applyFill="1" applyBorder="1" applyAlignment="1">
      <alignment horizontal="center" vertical="center"/>
    </xf>
    <xf numFmtId="0" fontId="0" fillId="72" borderId="17" xfId="0" applyFill="1" applyBorder="1"/>
    <xf numFmtId="3" fontId="0" fillId="73" borderId="58" xfId="0" applyNumberFormat="1" applyFill="1" applyBorder="1" applyAlignment="1">
      <alignment horizontal="right" vertical="center"/>
    </xf>
    <xf numFmtId="0" fontId="0" fillId="0" borderId="37" xfId="0" applyBorder="1"/>
    <xf numFmtId="0" fontId="0" fillId="53" borderId="12" xfId="0" applyFill="1" applyBorder="1"/>
    <xf numFmtId="0" fontId="0" fillId="61" borderId="37" xfId="0" applyFill="1" applyBorder="1"/>
    <xf numFmtId="0" fontId="0" fillId="57" borderId="59" xfId="0" applyFill="1" applyBorder="1"/>
    <xf numFmtId="0" fontId="0" fillId="62" borderId="38" xfId="0" applyFill="1" applyBorder="1"/>
    <xf numFmtId="3" fontId="0" fillId="54" borderId="53" xfId="0" applyNumberFormat="1" applyFill="1" applyBorder="1"/>
    <xf numFmtId="3" fontId="48" fillId="57" borderId="34" xfId="0" applyNumberFormat="1" applyFont="1" applyFill="1" applyBorder="1"/>
    <xf numFmtId="3" fontId="0" fillId="74" borderId="45" xfId="0" applyNumberFormat="1" applyFill="1" applyBorder="1" applyAlignment="1">
      <alignment horizontal="right" vertical="center"/>
    </xf>
    <xf numFmtId="3" fontId="0" fillId="74" borderId="48" xfId="0" applyNumberForma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0" fontId="18" fillId="0" borderId="0" xfId="76"/>
    <xf numFmtId="0" fontId="18" fillId="0" borderId="17" xfId="76" applyFont="1" applyBorder="1"/>
    <xf numFmtId="0" fontId="18" fillId="0" borderId="17" xfId="76" quotePrefix="1" applyNumberFormat="1" applyFont="1" applyBorder="1"/>
    <xf numFmtId="0" fontId="18" fillId="0" borderId="17" xfId="76" quotePrefix="1" applyNumberFormat="1" applyBorder="1"/>
    <xf numFmtId="0" fontId="49" fillId="0" borderId="20" xfId="76" quotePrefix="1" applyNumberFormat="1" applyFont="1" applyBorder="1"/>
    <xf numFmtId="0" fontId="18" fillId="0" borderId="0" xfId="76" applyFont="1" applyFill="1"/>
    <xf numFmtId="0" fontId="50" fillId="0" borderId="61" xfId="76" applyFont="1" applyBorder="1" applyAlignment="1">
      <alignment horizontal="center"/>
    </xf>
    <xf numFmtId="0" fontId="50" fillId="0" borderId="62" xfId="76" quotePrefix="1" applyNumberFormat="1" applyFont="1" applyFill="1" applyBorder="1" applyAlignment="1">
      <alignment horizontal="center"/>
    </xf>
    <xf numFmtId="0" fontId="50" fillId="0" borderId="66" xfId="76" applyFont="1" applyBorder="1" applyAlignment="1">
      <alignment horizontal="center"/>
    </xf>
    <xf numFmtId="0" fontId="18" fillId="0" borderId="11" xfId="76" quotePrefix="1" applyNumberFormat="1" applyBorder="1"/>
    <xf numFmtId="0" fontId="49" fillId="0" borderId="67" xfId="76" quotePrefix="1" applyNumberFormat="1" applyFont="1" applyBorder="1" applyAlignment="1">
      <alignment horizontal="center"/>
    </xf>
    <xf numFmtId="0" fontId="49" fillId="0" borderId="16" xfId="76" quotePrefix="1" applyNumberFormat="1" applyFont="1" applyBorder="1" applyAlignment="1">
      <alignment horizontal="center"/>
    </xf>
    <xf numFmtId="0" fontId="49" fillId="0" borderId="68" xfId="76" quotePrefix="1" applyNumberFormat="1" applyFont="1" applyBorder="1" applyAlignment="1">
      <alignment horizontal="center"/>
    </xf>
    <xf numFmtId="0" fontId="49" fillId="0" borderId="69" xfId="76" quotePrefix="1" applyNumberFormat="1" applyFont="1" applyBorder="1" applyAlignment="1">
      <alignment horizontal="center"/>
    </xf>
    <xf numFmtId="0" fontId="49" fillId="0" borderId="70" xfId="76" quotePrefix="1" applyNumberFormat="1" applyFont="1" applyBorder="1" applyAlignment="1">
      <alignment horizontal="center"/>
    </xf>
    <xf numFmtId="0" fontId="49" fillId="0" borderId="71" xfId="76" quotePrefix="1" applyNumberFormat="1" applyFont="1" applyBorder="1" applyAlignment="1">
      <alignment horizontal="center"/>
    </xf>
    <xf numFmtId="0" fontId="49" fillId="0" borderId="24" xfId="76" quotePrefix="1" applyNumberFormat="1" applyFont="1" applyBorder="1" applyAlignment="1">
      <alignment horizontal="center"/>
    </xf>
    <xf numFmtId="0" fontId="49" fillId="0" borderId="72" xfId="76" quotePrefix="1" applyNumberFormat="1" applyFont="1" applyBorder="1" applyAlignment="1">
      <alignment horizontal="center"/>
    </xf>
    <xf numFmtId="0" fontId="50" fillId="0" borderId="0" xfId="76" applyFont="1" applyBorder="1" applyAlignment="1">
      <alignment horizontal="center"/>
    </xf>
    <xf numFmtId="0" fontId="18" fillId="0" borderId="0" xfId="76" applyFill="1"/>
    <xf numFmtId="0" fontId="50" fillId="56" borderId="0" xfId="76" applyFont="1" applyFill="1" applyBorder="1"/>
    <xf numFmtId="0" fontId="50" fillId="75" borderId="0" xfId="76" applyFont="1" applyFill="1" applyBorder="1"/>
    <xf numFmtId="0" fontId="50" fillId="0" borderId="0" xfId="76" applyFont="1" applyFill="1" applyBorder="1"/>
    <xf numFmtId="0" fontId="18" fillId="0" borderId="0" xfId="76" quotePrefix="1" applyNumberFormat="1" applyFill="1" applyBorder="1"/>
    <xf numFmtId="0" fontId="50" fillId="0" borderId="73" xfId="76" applyFont="1" applyFill="1" applyBorder="1"/>
    <xf numFmtId="0" fontId="50" fillId="0" borderId="17" xfId="76" applyFont="1" applyFill="1" applyBorder="1"/>
    <xf numFmtId="0" fontId="50" fillId="76" borderId="17" xfId="76" applyFont="1" applyFill="1" applyBorder="1"/>
    <xf numFmtId="0" fontId="18" fillId="0" borderId="0" xfId="76" applyFill="1" applyBorder="1"/>
    <xf numFmtId="0" fontId="50" fillId="75" borderId="17" xfId="76" applyFont="1" applyFill="1" applyBorder="1"/>
    <xf numFmtId="0" fontId="50" fillId="56" borderId="17" xfId="76" applyFont="1" applyFill="1" applyBorder="1"/>
    <xf numFmtId="0" fontId="18" fillId="77" borderId="0" xfId="76" applyFill="1"/>
    <xf numFmtId="0" fontId="18" fillId="77" borderId="0" xfId="76" applyFill="1" applyBorder="1"/>
    <xf numFmtId="0" fontId="18" fillId="77" borderId="0" xfId="76" applyFont="1" applyFill="1" applyBorder="1"/>
    <xf numFmtId="0" fontId="50" fillId="77" borderId="0" xfId="76" applyFont="1" applyFill="1" applyBorder="1"/>
    <xf numFmtId="0" fontId="18" fillId="77" borderId="0" xfId="76" quotePrefix="1" applyNumberFormat="1" applyFill="1" applyBorder="1"/>
    <xf numFmtId="0" fontId="50" fillId="77" borderId="73" xfId="76" applyFont="1" applyFill="1" applyBorder="1"/>
    <xf numFmtId="0" fontId="50" fillId="77" borderId="17" xfId="76" applyFont="1" applyFill="1" applyBorder="1"/>
    <xf numFmtId="0" fontId="18" fillId="78" borderId="0" xfId="76" applyFill="1"/>
    <xf numFmtId="0" fontId="49" fillId="78" borderId="0" xfId="76" applyFont="1" applyFill="1"/>
    <xf numFmtId="0" fontId="50" fillId="78" borderId="0" xfId="76" applyFont="1" applyFill="1" applyBorder="1"/>
    <xf numFmtId="0" fontId="18" fillId="78" borderId="0" xfId="76" quotePrefix="1" applyNumberFormat="1" applyFill="1" applyBorder="1"/>
    <xf numFmtId="0" fontId="50" fillId="78" borderId="73" xfId="76" applyFont="1" applyFill="1" applyBorder="1"/>
    <xf numFmtId="0" fontId="50" fillId="78" borderId="17" xfId="76" applyFont="1" applyFill="1" applyBorder="1"/>
    <xf numFmtId="0" fontId="18" fillId="0" borderId="0" xfId="76" applyFont="1" applyFill="1" applyBorder="1"/>
    <xf numFmtId="0" fontId="50" fillId="0" borderId="74" xfId="76" applyFont="1" applyFill="1" applyBorder="1"/>
    <xf numFmtId="0" fontId="51" fillId="0" borderId="0" xfId="76" applyFont="1" applyFill="1" applyBorder="1"/>
    <xf numFmtId="0" fontId="18" fillId="75" borderId="0" xfId="76" applyFont="1" applyFill="1"/>
    <xf numFmtId="0" fontId="18" fillId="0" borderId="0" xfId="76" applyFont="1"/>
    <xf numFmtId="0" fontId="18" fillId="66" borderId="0" xfId="76" applyFont="1" applyFill="1"/>
    <xf numFmtId="0" fontId="18" fillId="0" borderId="0" xfId="76" quotePrefix="1" applyNumberFormat="1" applyFont="1" applyFill="1" applyBorder="1"/>
    <xf numFmtId="0" fontId="18" fillId="75" borderId="0" xfId="76" applyFill="1"/>
    <xf numFmtId="0" fontId="50" fillId="0" borderId="0" xfId="76" applyFont="1" applyBorder="1"/>
    <xf numFmtId="0" fontId="50" fillId="79" borderId="17" xfId="76" applyFont="1" applyFill="1" applyBorder="1"/>
    <xf numFmtId="0" fontId="50" fillId="59" borderId="17" xfId="76" applyFont="1" applyFill="1" applyBorder="1"/>
    <xf numFmtId="0" fontId="50" fillId="0" borderId="75" xfId="76" applyFont="1" applyFill="1" applyBorder="1"/>
    <xf numFmtId="0" fontId="18" fillId="0" borderId="17" xfId="76" applyFill="1" applyBorder="1"/>
    <xf numFmtId="0" fontId="18" fillId="75" borderId="17" xfId="76" applyFill="1" applyBorder="1"/>
    <xf numFmtId="0" fontId="50" fillId="66" borderId="0" xfId="76" applyFont="1" applyFill="1" applyBorder="1"/>
    <xf numFmtId="0" fontId="18" fillId="0" borderId="0" xfId="76" applyFont="1" applyFill="1" applyAlignment="1">
      <alignment wrapText="1"/>
    </xf>
    <xf numFmtId="0" fontId="50" fillId="66" borderId="17" xfId="76" applyFont="1" applyFill="1" applyBorder="1"/>
    <xf numFmtId="0" fontId="51" fillId="56" borderId="0" xfId="76" applyFont="1" applyFill="1" applyBorder="1"/>
    <xf numFmtId="0" fontId="49" fillId="0" borderId="0" xfId="76" applyFont="1" applyFill="1" applyBorder="1"/>
    <xf numFmtId="0" fontId="49" fillId="80" borderId="0" xfId="76" applyFont="1" applyFill="1" applyBorder="1"/>
    <xf numFmtId="0" fontId="18" fillId="0" borderId="17" xfId="76" applyBorder="1"/>
    <xf numFmtId="0" fontId="51" fillId="80" borderId="0" xfId="76" applyFont="1" applyFill="1" applyBorder="1"/>
    <xf numFmtId="0" fontId="34" fillId="0" borderId="17" xfId="76" applyFont="1" applyFill="1" applyBorder="1"/>
    <xf numFmtId="0" fontId="18" fillId="0" borderId="0" xfId="76" applyBorder="1"/>
    <xf numFmtId="0" fontId="18" fillId="56" borderId="0" xfId="76" applyFill="1"/>
    <xf numFmtId="0" fontId="49" fillId="81" borderId="0" xfId="76" applyFont="1" applyFill="1" applyBorder="1"/>
    <xf numFmtId="0" fontId="18" fillId="66" borderId="0" xfId="76" applyFont="1" applyFill="1" applyBorder="1"/>
    <xf numFmtId="0" fontId="49" fillId="0" borderId="0" xfId="76" applyFont="1" applyBorder="1"/>
    <xf numFmtId="0" fontId="18" fillId="0" borderId="0" xfId="76" applyFont="1" applyBorder="1"/>
    <xf numFmtId="0" fontId="49" fillId="78" borderId="0" xfId="76" applyFont="1" applyFill="1" applyBorder="1"/>
    <xf numFmtId="1" fontId="18" fillId="0" borderId="0" xfId="76" applyNumberFormat="1"/>
    <xf numFmtId="0" fontId="0" fillId="53" borderId="16" xfId="0" applyFill="1" applyBorder="1" applyAlignment="1">
      <alignment horizontal="center" vertical="center"/>
    </xf>
    <xf numFmtId="0" fontId="52" fillId="83" borderId="76" xfId="1" applyFont="1" applyFill="1" applyBorder="1" applyAlignment="1">
      <alignment horizontal="center" vertical="center" wrapText="1"/>
    </xf>
    <xf numFmtId="0" fontId="52" fillId="83" borderId="77" xfId="1" applyFont="1" applyFill="1" applyBorder="1" applyAlignment="1">
      <alignment horizontal="center" vertical="center" wrapText="1"/>
    </xf>
    <xf numFmtId="0" fontId="52" fillId="83" borderId="78" xfId="1" applyFont="1" applyFill="1" applyBorder="1" applyAlignment="1">
      <alignment horizontal="center" vertical="center" wrapText="1"/>
    </xf>
    <xf numFmtId="0" fontId="52" fillId="83" borderId="79" xfId="1" applyFont="1" applyFill="1" applyBorder="1" applyAlignment="1">
      <alignment horizontal="center" vertical="center" wrapText="1"/>
    </xf>
    <xf numFmtId="0" fontId="52" fillId="83" borderId="80" xfId="1" applyFont="1" applyFill="1" applyBorder="1" applyAlignment="1">
      <alignment horizontal="center" vertical="center" wrapText="1"/>
    </xf>
    <xf numFmtId="0" fontId="52" fillId="83" borderId="10" xfId="1" applyFont="1" applyFill="1" applyBorder="1" applyAlignment="1">
      <alignment horizontal="center" vertical="center" wrapText="1"/>
    </xf>
    <xf numFmtId="0" fontId="52" fillId="83" borderId="11" xfId="1" applyFont="1" applyFill="1" applyBorder="1" applyAlignment="1">
      <alignment horizontal="center" vertical="center" wrapText="1"/>
    </xf>
    <xf numFmtId="0" fontId="52" fillId="83" borderId="12" xfId="1" applyFont="1" applyFill="1" applyBorder="1" applyAlignment="1">
      <alignment horizontal="center" vertical="center" wrapText="1"/>
    </xf>
    <xf numFmtId="0" fontId="52" fillId="83" borderId="81" xfId="1" applyFont="1" applyFill="1" applyBorder="1" applyAlignment="1">
      <alignment horizontal="center" vertical="center" wrapText="1"/>
    </xf>
    <xf numFmtId="0" fontId="52" fillId="83" borderId="82" xfId="1" applyFont="1" applyFill="1" applyBorder="1" applyAlignment="1">
      <alignment horizontal="center" vertical="center" wrapText="1"/>
    </xf>
    <xf numFmtId="3" fontId="53" fillId="83" borderId="83" xfId="1" applyNumberFormat="1" applyFont="1" applyFill="1" applyBorder="1" applyAlignment="1">
      <alignment horizontal="center" vertical="center" wrapText="1"/>
    </xf>
    <xf numFmtId="3" fontId="53" fillId="83" borderId="84" xfId="1" applyNumberFormat="1" applyFont="1" applyFill="1" applyBorder="1" applyAlignment="1">
      <alignment horizontal="center" vertical="center" wrapText="1"/>
    </xf>
    <xf numFmtId="165" fontId="53" fillId="83" borderId="81" xfId="1" applyNumberFormat="1" applyFont="1" applyFill="1" applyBorder="1" applyAlignment="1">
      <alignment horizontal="center" vertical="center" wrapText="1"/>
    </xf>
    <xf numFmtId="165" fontId="53" fillId="83" borderId="82" xfId="1" applyNumberFormat="1" applyFont="1" applyFill="1" applyBorder="1" applyAlignment="1">
      <alignment horizontal="center" vertical="center" wrapText="1"/>
    </xf>
    <xf numFmtId="165" fontId="53" fillId="83" borderId="7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85" xfId="0" applyBorder="1" applyAlignment="1">
      <alignment horizontal="center"/>
    </xf>
    <xf numFmtId="0" fontId="54" fillId="0" borderId="13" xfId="0" applyFont="1" applyBorder="1"/>
    <xf numFmtId="0" fontId="0" fillId="0" borderId="13" xfId="0" applyBorder="1"/>
    <xf numFmtId="0" fontId="0" fillId="0" borderId="86" xfId="0" applyBorder="1"/>
    <xf numFmtId="0" fontId="0" fillId="0" borderId="14" xfId="0" applyBorder="1"/>
    <xf numFmtId="0" fontId="0" fillId="0" borderId="87" xfId="0" applyBorder="1"/>
    <xf numFmtId="0" fontId="0" fillId="0" borderId="88" xfId="0" applyBorder="1"/>
    <xf numFmtId="0" fontId="0" fillId="0" borderId="85" xfId="0" applyBorder="1"/>
    <xf numFmtId="3" fontId="0" fillId="0" borderId="13" xfId="0" applyNumberFormat="1" applyFill="1" applyBorder="1"/>
    <xf numFmtId="3" fontId="0" fillId="33" borderId="13" xfId="0" applyNumberFormat="1" applyFill="1" applyBorder="1"/>
    <xf numFmtId="3" fontId="0" fillId="33" borderId="89" xfId="0" applyNumberFormat="1" applyFill="1" applyBorder="1"/>
    <xf numFmtId="3" fontId="16" fillId="0" borderId="90" xfId="0" applyNumberFormat="1" applyFont="1" applyBorder="1"/>
    <xf numFmtId="3" fontId="16" fillId="0" borderId="15" xfId="0" applyNumberFormat="1" applyFont="1" applyBorder="1"/>
    <xf numFmtId="0" fontId="0" fillId="0" borderId="16" xfId="0" applyBorder="1"/>
    <xf numFmtId="0" fontId="0" fillId="0" borderId="89" xfId="0" applyBorder="1"/>
    <xf numFmtId="0" fontId="55" fillId="0" borderId="0" xfId="0" applyFont="1"/>
    <xf numFmtId="0" fontId="0" fillId="0" borderId="91" xfId="0" applyBorder="1" applyAlignment="1">
      <alignment horizontal="center"/>
    </xf>
    <xf numFmtId="0" fontId="54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91" xfId="0" applyBorder="1"/>
    <xf numFmtId="3" fontId="0" fillId="0" borderId="17" xfId="0" applyNumberFormat="1" applyFill="1" applyBorder="1"/>
    <xf numFmtId="3" fontId="0" fillId="33" borderId="17" xfId="0" applyNumberFormat="1" applyFill="1" applyBorder="1"/>
    <xf numFmtId="3" fontId="0" fillId="33" borderId="92" xfId="0" applyNumberFormat="1" applyFill="1" applyBorder="1"/>
    <xf numFmtId="3" fontId="16" fillId="0" borderId="93" xfId="0" applyNumberFormat="1" applyFont="1" applyBorder="1"/>
    <xf numFmtId="0" fontId="0" fillId="0" borderId="92" xfId="0" applyBorder="1"/>
    <xf numFmtId="0" fontId="0" fillId="77" borderId="91" xfId="0" applyFill="1" applyBorder="1"/>
    <xf numFmtId="3" fontId="0" fillId="77" borderId="13" xfId="0" applyNumberFormat="1" applyFill="1" applyBorder="1"/>
    <xf numFmtId="3" fontId="0" fillId="77" borderId="17" xfId="0" applyNumberFormat="1" applyFill="1" applyBorder="1"/>
    <xf numFmtId="3" fontId="0" fillId="77" borderId="92" xfId="0" applyNumberFormat="1" applyFill="1" applyBorder="1"/>
    <xf numFmtId="3" fontId="16" fillId="77" borderId="93" xfId="0" applyNumberFormat="1" applyFont="1" applyFill="1" applyBorder="1"/>
    <xf numFmtId="3" fontId="0" fillId="0" borderId="89" xfId="0" applyNumberFormat="1" applyFill="1" applyBorder="1"/>
    <xf numFmtId="3" fontId="16" fillId="0" borderId="90" xfId="0" applyNumberFormat="1" applyFont="1" applyFill="1" applyBorder="1"/>
    <xf numFmtId="3" fontId="0" fillId="0" borderId="92" xfId="0" applyNumberFormat="1" applyFill="1" applyBorder="1"/>
    <xf numFmtId="3" fontId="16" fillId="0" borderId="93" xfId="0" applyNumberFormat="1" applyFont="1" applyFill="1" applyBorder="1"/>
    <xf numFmtId="4" fontId="0" fillId="0" borderId="0" xfId="0" applyNumberFormat="1"/>
    <xf numFmtId="0" fontId="0" fillId="0" borderId="67" xfId="0" applyBorder="1" applyAlignment="1">
      <alignment horizontal="center"/>
    </xf>
    <xf numFmtId="0" fontId="54" fillId="0" borderId="11" xfId="0" applyFont="1" applyBorder="1"/>
    <xf numFmtId="0" fontId="0" fillId="0" borderId="11" xfId="0" applyBorder="1"/>
    <xf numFmtId="0" fontId="16" fillId="34" borderId="94" xfId="0" applyFont="1" applyFill="1" applyBorder="1"/>
    <xf numFmtId="4" fontId="16" fillId="34" borderId="11" xfId="0" applyNumberFormat="1" applyFont="1" applyFill="1" applyBorder="1"/>
    <xf numFmtId="0" fontId="0" fillId="0" borderId="95" xfId="0" applyBorder="1"/>
    <xf numFmtId="0" fontId="0" fillId="0" borderId="96" xfId="0" applyBorder="1"/>
    <xf numFmtId="0" fontId="0" fillId="0" borderId="97" xfId="0" applyBorder="1" applyAlignment="1">
      <alignment horizontal="center"/>
    </xf>
    <xf numFmtId="0" fontId="54" fillId="0" borderId="86" xfId="0" applyFont="1" applyBorder="1"/>
    <xf numFmtId="0" fontId="0" fillId="0" borderId="97" xfId="0" applyBorder="1"/>
    <xf numFmtId="3" fontId="0" fillId="0" borderId="86" xfId="0" applyNumberFormat="1" applyFill="1" applyBorder="1"/>
    <xf numFmtId="3" fontId="0" fillId="33" borderId="86" xfId="0" applyNumberFormat="1" applyFill="1" applyBorder="1"/>
    <xf numFmtId="3" fontId="0" fillId="33" borderId="88" xfId="0" applyNumberFormat="1" applyFill="1" applyBorder="1"/>
    <xf numFmtId="3" fontId="0" fillId="33" borderId="98" xfId="0" applyNumberFormat="1" applyFill="1" applyBorder="1"/>
    <xf numFmtId="3" fontId="16" fillId="0" borderId="99" xfId="0" applyNumberFormat="1" applyFont="1" applyBorder="1"/>
    <xf numFmtId="0" fontId="0" fillId="0" borderId="98" xfId="0" applyBorder="1"/>
    <xf numFmtId="3" fontId="0" fillId="33" borderId="18" xfId="0" applyNumberFormat="1" applyFill="1" applyBorder="1"/>
    <xf numFmtId="3" fontId="16" fillId="0" borderId="17" xfId="0" applyNumberFormat="1" applyFont="1" applyFill="1" applyBorder="1"/>
    <xf numFmtId="3" fontId="0" fillId="77" borderId="18" xfId="0" applyNumberFormat="1" applyFill="1" applyBorder="1"/>
    <xf numFmtId="3" fontId="0" fillId="0" borderId="18" xfId="0" applyNumberFormat="1" applyFill="1" applyBorder="1"/>
    <xf numFmtId="0" fontId="0" fillId="0" borderId="100" xfId="0" applyBorder="1" applyAlignment="1">
      <alignment horizontal="center"/>
    </xf>
    <xf numFmtId="0" fontId="54" fillId="0" borderId="101" xfId="0" applyFont="1" applyBorder="1"/>
    <xf numFmtId="0" fontId="0" fillId="0" borderId="101" xfId="0" applyBorder="1"/>
    <xf numFmtId="0" fontId="16" fillId="34" borderId="100" xfId="0" applyFont="1" applyFill="1" applyBorder="1"/>
    <xf numFmtId="4" fontId="16" fillId="34" borderId="101" xfId="0" applyNumberFormat="1" applyFont="1" applyFill="1" applyBorder="1"/>
    <xf numFmtId="4" fontId="16" fillId="34" borderId="95" xfId="0" applyNumberFormat="1" applyFont="1" applyFill="1" applyBorder="1"/>
    <xf numFmtId="4" fontId="16" fillId="34" borderId="96" xfId="0" applyNumberFormat="1" applyFont="1" applyFill="1" applyBorder="1"/>
    <xf numFmtId="4" fontId="16" fillId="34" borderId="102" xfId="0" applyNumberFormat="1" applyFont="1" applyFill="1" applyBorder="1"/>
    <xf numFmtId="4" fontId="16" fillId="34" borderId="103" xfId="0" applyNumberFormat="1" applyFont="1" applyFill="1" applyBorder="1"/>
    <xf numFmtId="0" fontId="0" fillId="0" borderId="104" xfId="0" applyBorder="1"/>
    <xf numFmtId="3" fontId="48" fillId="33" borderId="17" xfId="0" applyNumberFormat="1" applyFont="1" applyFill="1" applyBorder="1"/>
    <xf numFmtId="4" fontId="0" fillId="0" borderId="14" xfId="0" applyNumberFormat="1" applyBorder="1"/>
    <xf numFmtId="0" fontId="0" fillId="0" borderId="91" xfId="0" applyFill="1" applyBorder="1"/>
    <xf numFmtId="3" fontId="56" fillId="33" borderId="18" xfId="0" applyNumberFormat="1" applyFont="1" applyFill="1" applyBorder="1"/>
    <xf numFmtId="3" fontId="56" fillId="33" borderId="92" xfId="0" applyNumberFormat="1" applyFont="1" applyFill="1" applyBorder="1"/>
    <xf numFmtId="3" fontId="0" fillId="0" borderId="0" xfId="0" applyNumberFormat="1"/>
    <xf numFmtId="3" fontId="16" fillId="33" borderId="93" xfId="0" applyNumberFormat="1" applyFont="1" applyFill="1" applyBorder="1"/>
    <xf numFmtId="0" fontId="0" fillId="0" borderId="105" xfId="0" applyBorder="1"/>
    <xf numFmtId="0" fontId="0" fillId="0" borderId="86" xfId="0" applyFill="1" applyBorder="1"/>
    <xf numFmtId="3" fontId="0" fillId="0" borderId="106" xfId="0" applyNumberFormat="1" applyBorder="1"/>
    <xf numFmtId="0" fontId="0" fillId="0" borderId="13" xfId="0" applyFill="1" applyBorder="1"/>
    <xf numFmtId="0" fontId="0" fillId="0" borderId="15" xfId="0" applyFill="1" applyBorder="1"/>
    <xf numFmtId="0" fontId="0" fillId="0" borderId="14" xfId="0" applyFill="1" applyBorder="1"/>
    <xf numFmtId="3" fontId="0" fillId="33" borderId="14" xfId="0" applyNumberFormat="1" applyFill="1" applyBorder="1"/>
    <xf numFmtId="0" fontId="0" fillId="0" borderId="17" xfId="0" applyFill="1" applyBorder="1"/>
    <xf numFmtId="0" fontId="0" fillId="0" borderId="19" xfId="0" applyFill="1" applyBorder="1"/>
    <xf numFmtId="0" fontId="0" fillId="0" borderId="18" xfId="0" applyFill="1" applyBorder="1"/>
    <xf numFmtId="3" fontId="0" fillId="0" borderId="93" xfId="0" applyNumberFormat="1" applyFill="1" applyBorder="1"/>
    <xf numFmtId="0" fontId="0" fillId="0" borderId="101" xfId="0" applyFill="1" applyBorder="1"/>
    <xf numFmtId="0" fontId="0" fillId="0" borderId="105" xfId="0" applyFill="1" applyBorder="1"/>
    <xf numFmtId="0" fontId="0" fillId="0" borderId="95" xfId="0" applyFill="1" applyBorder="1"/>
    <xf numFmtId="4" fontId="16" fillId="34" borderId="105" xfId="0" applyNumberFormat="1" applyFont="1" applyFill="1" applyBorder="1"/>
    <xf numFmtId="3" fontId="0" fillId="0" borderId="90" xfId="0" applyNumberFormat="1" applyBorder="1"/>
    <xf numFmtId="3" fontId="0" fillId="0" borderId="93" xfId="0" applyNumberFormat="1" applyBorder="1"/>
    <xf numFmtId="0" fontId="0" fillId="0" borderId="11" xfId="0" applyFill="1" applyBorder="1"/>
    <xf numFmtId="0" fontId="0" fillId="84" borderId="86" xfId="0" applyFill="1" applyBorder="1"/>
    <xf numFmtId="0" fontId="0" fillId="0" borderId="87" xfId="0" applyFill="1" applyBorder="1"/>
    <xf numFmtId="0" fontId="0" fillId="0" borderId="88" xfId="0" applyFill="1" applyBorder="1"/>
    <xf numFmtId="3" fontId="0" fillId="0" borderId="98" xfId="0" applyNumberFormat="1" applyFill="1" applyBorder="1"/>
    <xf numFmtId="3" fontId="0" fillId="0" borderId="99" xfId="0" applyNumberFormat="1" applyFill="1" applyBorder="1"/>
    <xf numFmtId="0" fontId="0" fillId="84" borderId="17" xfId="0" applyFill="1" applyBorder="1"/>
    <xf numFmtId="0" fontId="0" fillId="84" borderId="101" xfId="0" applyFill="1" applyBorder="1"/>
    <xf numFmtId="0" fontId="54" fillId="0" borderId="86" xfId="0" applyFont="1" applyFill="1" applyBorder="1"/>
    <xf numFmtId="0" fontId="0" fillId="0" borderId="97" xfId="0" applyFill="1" applyBorder="1"/>
    <xf numFmtId="3" fontId="16" fillId="0" borderId="99" xfId="0" applyNumberFormat="1" applyFont="1" applyFill="1" applyBorder="1"/>
    <xf numFmtId="0" fontId="0" fillId="0" borderId="98" xfId="0" applyFill="1" applyBorder="1"/>
    <xf numFmtId="0" fontId="54" fillId="0" borderId="17" xfId="0" applyFont="1" applyFill="1" applyBorder="1"/>
    <xf numFmtId="0" fontId="0" fillId="0" borderId="92" xfId="0" applyFill="1" applyBorder="1"/>
    <xf numFmtId="3" fontId="0" fillId="0" borderId="22" xfId="0" applyNumberFormat="1" applyFill="1" applyBorder="1"/>
    <xf numFmtId="0" fontId="54" fillId="0" borderId="101" xfId="0" applyFont="1" applyFill="1" applyBorder="1"/>
    <xf numFmtId="4" fontId="16" fillId="34" borderId="107" xfId="0" applyNumberFormat="1" applyFont="1" applyFill="1" applyBorder="1"/>
    <xf numFmtId="0" fontId="0" fillId="0" borderId="96" xfId="0" applyFill="1" applyBorder="1"/>
    <xf numFmtId="0" fontId="0" fillId="0" borderId="85" xfId="0" applyFill="1" applyBorder="1"/>
    <xf numFmtId="0" fontId="54" fillId="0" borderId="11" xfId="0" applyFont="1" applyFill="1" applyBorder="1"/>
    <xf numFmtId="0" fontId="0" fillId="0" borderId="108" xfId="0" applyFill="1" applyBorder="1"/>
    <xf numFmtId="0" fontId="0" fillId="0" borderId="16" xfId="0" applyFill="1" applyBorder="1"/>
    <xf numFmtId="0" fontId="0" fillId="0" borderId="109" xfId="0" applyFill="1" applyBorder="1"/>
    <xf numFmtId="0" fontId="0" fillId="0" borderId="10" xfId="0" applyFill="1" applyBorder="1"/>
    <xf numFmtId="0" fontId="0" fillId="0" borderId="23" xfId="0" applyFill="1" applyBorder="1"/>
    <xf numFmtId="0" fontId="0" fillId="0" borderId="69" xfId="0" applyFill="1" applyBorder="1"/>
    <xf numFmtId="3" fontId="0" fillId="0" borderId="16" xfId="0" applyNumberFormat="1" applyFill="1" applyBorder="1"/>
    <xf numFmtId="3" fontId="0" fillId="0" borderId="106" xfId="0" applyNumberFormat="1" applyFill="1" applyBorder="1"/>
    <xf numFmtId="0" fontId="0" fillId="0" borderId="12" xfId="0" applyFill="1" applyBorder="1"/>
    <xf numFmtId="0" fontId="0" fillId="0" borderId="104" xfId="0" applyFill="1" applyBorder="1"/>
    <xf numFmtId="0" fontId="54" fillId="0" borderId="110" xfId="0" applyFont="1" applyFill="1" applyBorder="1"/>
    <xf numFmtId="0" fontId="0" fillId="0" borderId="111" xfId="0" applyFill="1" applyBorder="1"/>
    <xf numFmtId="0" fontId="0" fillId="0" borderId="110" xfId="0" applyFill="1" applyBorder="1"/>
    <xf numFmtId="0" fontId="0" fillId="0" borderId="112" xfId="0" applyFill="1" applyBorder="1"/>
    <xf numFmtId="0" fontId="0" fillId="0" borderId="113" xfId="0" applyFill="1" applyBorder="1"/>
    <xf numFmtId="0" fontId="54" fillId="0" borderId="13" xfId="0" applyFont="1" applyFill="1" applyBorder="1"/>
    <xf numFmtId="3" fontId="0" fillId="0" borderId="90" xfId="0" applyNumberFormat="1" applyFill="1" applyBorder="1"/>
    <xf numFmtId="0" fontId="0" fillId="0" borderId="89" xfId="0" applyFill="1" applyBorder="1"/>
    <xf numFmtId="0" fontId="54" fillId="0" borderId="16" xfId="0" applyFont="1" applyFill="1" applyBorder="1"/>
    <xf numFmtId="0" fontId="0" fillId="0" borderId="24" xfId="0" applyFill="1" applyBorder="1"/>
    <xf numFmtId="0" fontId="0" fillId="0" borderId="68" xfId="0" applyFill="1" applyBorder="1"/>
    <xf numFmtId="3" fontId="0" fillId="0" borderId="19" xfId="0" applyNumberFormat="1" applyFill="1" applyBorder="1"/>
    <xf numFmtId="0" fontId="54" fillId="0" borderId="108" xfId="0" applyFont="1" applyFill="1" applyBorder="1"/>
    <xf numFmtId="0" fontId="0" fillId="0" borderId="70" xfId="0" applyFill="1" applyBorder="1"/>
    <xf numFmtId="3" fontId="0" fillId="0" borderId="86" xfId="0" applyNumberFormat="1" applyBorder="1"/>
    <xf numFmtId="3" fontId="0" fillId="0" borderId="108" xfId="0" applyNumberFormat="1" applyFill="1" applyBorder="1"/>
    <xf numFmtId="3" fontId="0" fillId="0" borderId="70" xfId="0" applyNumberFormat="1" applyFill="1" applyBorder="1"/>
    <xf numFmtId="3" fontId="0" fillId="0" borderId="114" xfId="0" applyNumberFormat="1" applyFill="1" applyBorder="1"/>
    <xf numFmtId="3" fontId="0" fillId="0" borderId="16" xfId="0" applyNumberFormat="1" applyBorder="1"/>
    <xf numFmtId="3" fontId="0" fillId="0" borderId="87" xfId="0" applyNumberFormat="1" applyFill="1" applyBorder="1"/>
    <xf numFmtId="0" fontId="0" fillId="0" borderId="115" xfId="0" applyBorder="1" applyAlignment="1">
      <alignment horizontal="center"/>
    </xf>
    <xf numFmtId="0" fontId="54" fillId="0" borderId="97" xfId="0" applyFont="1" applyFill="1" applyBorder="1"/>
    <xf numFmtId="0" fontId="0" fillId="84" borderId="87" xfId="0" applyFill="1" applyBorder="1"/>
    <xf numFmtId="0" fontId="0" fillId="84" borderId="88" xfId="0" applyFill="1" applyBorder="1"/>
    <xf numFmtId="3" fontId="0" fillId="0" borderId="98" xfId="0" applyNumberFormat="1" applyBorder="1"/>
    <xf numFmtId="3" fontId="0" fillId="0" borderId="99" xfId="0" applyNumberFormat="1" applyBorder="1"/>
    <xf numFmtId="0" fontId="0" fillId="0" borderId="109" xfId="0" applyBorder="1"/>
    <xf numFmtId="0" fontId="0" fillId="0" borderId="114" xfId="0" applyBorder="1"/>
    <xf numFmtId="0" fontId="54" fillId="0" borderId="91" xfId="0" applyFont="1" applyFill="1" applyBorder="1"/>
    <xf numFmtId="0" fontId="0" fillId="84" borderId="19" xfId="0" applyFill="1" applyBorder="1"/>
    <xf numFmtId="0" fontId="0" fillId="84" borderId="92" xfId="0" applyFill="1" applyBorder="1"/>
    <xf numFmtId="3" fontId="0" fillId="0" borderId="68" xfId="0" applyNumberFormat="1" applyBorder="1"/>
    <xf numFmtId="0" fontId="0" fillId="0" borderId="68" xfId="0" applyBorder="1"/>
    <xf numFmtId="0" fontId="54" fillId="0" borderId="100" xfId="0" applyFont="1" applyFill="1" applyBorder="1"/>
    <xf numFmtId="0" fontId="0" fillId="84" borderId="110" xfId="0" applyFill="1" applyBorder="1"/>
    <xf numFmtId="0" fontId="0" fillId="84" borderId="111" xfId="0" applyFill="1" applyBorder="1"/>
    <xf numFmtId="0" fontId="0" fillId="84" borderId="112" xfId="0" applyFill="1" applyBorder="1"/>
    <xf numFmtId="0" fontId="0" fillId="0" borderId="110" xfId="0" applyBorder="1"/>
    <xf numFmtId="0" fontId="0" fillId="0" borderId="112" xfId="0" applyBorder="1"/>
    <xf numFmtId="0" fontId="0" fillId="0" borderId="113" xfId="0" applyBorder="1"/>
    <xf numFmtId="0" fontId="0" fillId="84" borderId="13" xfId="0" applyFill="1" applyBorder="1"/>
    <xf numFmtId="0" fontId="0" fillId="84" borderId="14" xfId="0" applyFill="1" applyBorder="1"/>
    <xf numFmtId="0" fontId="0" fillId="84" borderId="15" xfId="0" applyFill="1" applyBorder="1"/>
    <xf numFmtId="0" fontId="0" fillId="84" borderId="85" xfId="0" applyFill="1" applyBorder="1"/>
    <xf numFmtId="3" fontId="0" fillId="84" borderId="90" xfId="0" applyNumberFormat="1" applyFill="1" applyBorder="1"/>
    <xf numFmtId="0" fontId="0" fillId="84" borderId="18" xfId="0" applyFill="1" applyBorder="1"/>
    <xf numFmtId="0" fontId="0" fillId="84" borderId="91" xfId="0" applyFill="1" applyBorder="1"/>
    <xf numFmtId="3" fontId="0" fillId="0" borderId="92" xfId="0" applyNumberFormat="1" applyBorder="1"/>
    <xf numFmtId="3" fontId="16" fillId="0" borderId="19" xfId="0" applyNumberFormat="1" applyFont="1" applyBorder="1"/>
    <xf numFmtId="0" fontId="0" fillId="84" borderId="95" xfId="0" applyFill="1" applyBorder="1"/>
    <xf numFmtId="0" fontId="0" fillId="84" borderId="105" xfId="0" applyFill="1" applyBorder="1"/>
    <xf numFmtId="0" fontId="0" fillId="84" borderId="97" xfId="0" applyFill="1" applyBorder="1"/>
    <xf numFmtId="3" fontId="0" fillId="0" borderId="116" xfId="0" applyNumberFormat="1" applyBorder="1"/>
    <xf numFmtId="3" fontId="1" fillId="0" borderId="17" xfId="2" applyNumberFormat="1" applyBorder="1"/>
    <xf numFmtId="0" fontId="0" fillId="0" borderId="94" xfId="0" applyBorder="1" applyAlignment="1">
      <alignment horizontal="center"/>
    </xf>
    <xf numFmtId="0" fontId="0" fillId="84" borderId="11" xfId="0" applyFill="1" applyBorder="1"/>
    <xf numFmtId="0" fontId="0" fillId="84" borderId="12" xfId="0" applyFill="1" applyBorder="1"/>
    <xf numFmtId="0" fontId="0" fillId="84" borderId="10" xfId="0" applyFill="1" applyBorder="1"/>
    <xf numFmtId="0" fontId="54" fillId="85" borderId="86" xfId="0" applyFont="1" applyFill="1" applyBorder="1"/>
    <xf numFmtId="0" fontId="0" fillId="85" borderId="86" xfId="0" applyFill="1" applyBorder="1"/>
    <xf numFmtId="0" fontId="0" fillId="85" borderId="88" xfId="0" applyFill="1" applyBorder="1"/>
    <xf numFmtId="0" fontId="0" fillId="85" borderId="87" xfId="0" applyFill="1" applyBorder="1"/>
    <xf numFmtId="0" fontId="0" fillId="85" borderId="97" xfId="0" applyFill="1" applyBorder="1"/>
    <xf numFmtId="3" fontId="0" fillId="85" borderId="86" xfId="0" applyNumberFormat="1" applyFill="1" applyBorder="1"/>
    <xf numFmtId="3" fontId="0" fillId="85" borderId="98" xfId="0" applyNumberFormat="1" applyFill="1" applyBorder="1"/>
    <xf numFmtId="3" fontId="16" fillId="85" borderId="99" xfId="0" applyNumberFormat="1" applyFont="1" applyFill="1" applyBorder="1"/>
    <xf numFmtId="0" fontId="54" fillId="85" borderId="17" xfId="0" applyFont="1" applyFill="1" applyBorder="1"/>
    <xf numFmtId="0" fontId="0" fillId="85" borderId="17" xfId="0" applyFill="1" applyBorder="1"/>
    <xf numFmtId="0" fontId="0" fillId="85" borderId="18" xfId="0" applyFill="1" applyBorder="1"/>
    <xf numFmtId="0" fontId="0" fillId="85" borderId="19" xfId="0" applyFill="1" applyBorder="1"/>
    <xf numFmtId="0" fontId="0" fillId="85" borderId="91" xfId="0" applyFill="1" applyBorder="1"/>
    <xf numFmtId="3" fontId="0" fillId="85" borderId="17" xfId="0" applyNumberFormat="1" applyFill="1" applyBorder="1"/>
    <xf numFmtId="3" fontId="0" fillId="85" borderId="92" xfId="0" applyNumberFormat="1" applyFill="1" applyBorder="1"/>
    <xf numFmtId="3" fontId="16" fillId="85" borderId="93" xfId="0" applyNumberFormat="1" applyFont="1" applyFill="1" applyBorder="1"/>
    <xf numFmtId="3" fontId="16" fillId="86" borderId="93" xfId="0" applyNumberFormat="1" applyFont="1" applyFill="1" applyBorder="1"/>
    <xf numFmtId="3" fontId="16" fillId="0" borderId="19" xfId="0" applyNumberFormat="1" applyFont="1" applyFill="1" applyBorder="1"/>
    <xf numFmtId="0" fontId="54" fillId="85" borderId="101" xfId="0" applyFont="1" applyFill="1" applyBorder="1"/>
    <xf numFmtId="0" fontId="0" fillId="85" borderId="101" xfId="0" applyFill="1" applyBorder="1"/>
    <xf numFmtId="0" fontId="0" fillId="85" borderId="95" xfId="0" applyFill="1" applyBorder="1"/>
    <xf numFmtId="0" fontId="0" fillId="85" borderId="105" xfId="0" applyFill="1" applyBorder="1"/>
    <xf numFmtId="0" fontId="0" fillId="85" borderId="100" xfId="0" applyFill="1" applyBorder="1"/>
    <xf numFmtId="4" fontId="0" fillId="85" borderId="101" xfId="0" applyNumberFormat="1" applyFill="1" applyBorder="1"/>
    <xf numFmtId="4" fontId="0" fillId="85" borderId="96" xfId="0" applyNumberFormat="1" applyFill="1" applyBorder="1"/>
    <xf numFmtId="4" fontId="16" fillId="85" borderId="102" xfId="0" applyNumberFormat="1" applyFont="1" applyFill="1" applyBorder="1"/>
    <xf numFmtId="3" fontId="16" fillId="0" borderId="105" xfId="0" applyNumberFormat="1" applyFont="1" applyFill="1" applyBorder="1"/>
    <xf numFmtId="3" fontId="0" fillId="85" borderId="99" xfId="0" applyNumberFormat="1" applyFill="1" applyBorder="1"/>
    <xf numFmtId="3" fontId="0" fillId="85" borderId="93" xfId="0" applyNumberFormat="1" applyFill="1" applyBorder="1"/>
    <xf numFmtId="3" fontId="0" fillId="86" borderId="93" xfId="0" applyNumberFormat="1" applyFill="1" applyBorder="1"/>
    <xf numFmtId="4" fontId="0" fillId="85" borderId="102" xfId="0" applyNumberFormat="1" applyFill="1" applyBorder="1"/>
    <xf numFmtId="0" fontId="54" fillId="85" borderId="13" xfId="0" applyFont="1" applyFill="1" applyBorder="1"/>
    <xf numFmtId="0" fontId="0" fillId="85" borderId="13" xfId="0" applyFill="1" applyBorder="1"/>
    <xf numFmtId="0" fontId="0" fillId="85" borderId="14" xfId="0" applyFill="1" applyBorder="1"/>
    <xf numFmtId="0" fontId="0" fillId="85" borderId="85" xfId="0" applyFill="1" applyBorder="1"/>
    <xf numFmtId="3" fontId="0" fillId="85" borderId="13" xfId="0" applyNumberFormat="1" applyFill="1" applyBorder="1"/>
    <xf numFmtId="3" fontId="0" fillId="85" borderId="89" xfId="0" applyNumberFormat="1" applyFill="1" applyBorder="1"/>
    <xf numFmtId="3" fontId="0" fillId="86" borderId="90" xfId="0" applyNumberFormat="1" applyFill="1" applyBorder="1"/>
    <xf numFmtId="3" fontId="0" fillId="85" borderId="101" xfId="0" applyNumberFormat="1" applyFill="1" applyBorder="1"/>
    <xf numFmtId="3" fontId="0" fillId="85" borderId="96" xfId="0" applyNumberFormat="1" applyFill="1" applyBorder="1"/>
    <xf numFmtId="3" fontId="0" fillId="85" borderId="102" xfId="0" applyNumberFormat="1" applyFill="1" applyBorder="1"/>
    <xf numFmtId="3" fontId="0" fillId="0" borderId="105" xfId="0" applyNumberFormat="1" applyFill="1" applyBorder="1"/>
    <xf numFmtId="0" fontId="54" fillId="85" borderId="11" xfId="0" applyFont="1" applyFill="1" applyBorder="1"/>
    <xf numFmtId="0" fontId="0" fillId="85" borderId="11" xfId="0" applyFill="1" applyBorder="1"/>
    <xf numFmtId="0" fontId="0" fillId="85" borderId="12" xfId="0" applyFill="1" applyBorder="1"/>
    <xf numFmtId="0" fontId="0" fillId="85" borderId="10" xfId="0" applyFill="1" applyBorder="1"/>
    <xf numFmtId="0" fontId="0" fillId="85" borderId="94" xfId="0" applyFill="1" applyBorder="1"/>
    <xf numFmtId="3" fontId="0" fillId="85" borderId="11" xfId="0" applyNumberFormat="1" applyFill="1" applyBorder="1"/>
    <xf numFmtId="3" fontId="0" fillId="85" borderId="104" xfId="0" applyNumberFormat="1" applyFill="1" applyBorder="1"/>
    <xf numFmtId="3" fontId="0" fillId="86" borderId="117" xfId="0" applyNumberFormat="1" applyFill="1" applyBorder="1"/>
    <xf numFmtId="3" fontId="0" fillId="85" borderId="16" xfId="0" applyNumberFormat="1" applyFill="1" applyBorder="1"/>
    <xf numFmtId="3" fontId="0" fillId="85" borderId="117" xfId="0" applyNumberFormat="1" applyFill="1" applyBorder="1"/>
    <xf numFmtId="3" fontId="0" fillId="0" borderId="10" xfId="0" applyNumberFormat="1" applyFill="1" applyBorder="1"/>
    <xf numFmtId="0" fontId="0" fillId="85" borderId="15" xfId="0" applyFill="1" applyBorder="1"/>
    <xf numFmtId="3" fontId="0" fillId="85" borderId="90" xfId="0" applyNumberFormat="1" applyFill="1" applyBorder="1"/>
    <xf numFmtId="3" fontId="0" fillId="86" borderId="102" xfId="0" applyNumberFormat="1" applyFill="1" applyBorder="1"/>
    <xf numFmtId="3" fontId="57" fillId="85" borderId="86" xfId="0" applyNumberFormat="1" applyFont="1" applyFill="1" applyBorder="1"/>
    <xf numFmtId="3" fontId="57" fillId="85" borderId="98" xfId="0" applyNumberFormat="1" applyFont="1" applyFill="1" applyBorder="1"/>
    <xf numFmtId="3" fontId="0" fillId="86" borderId="99" xfId="0" applyNumberFormat="1" applyFill="1" applyBorder="1"/>
    <xf numFmtId="0" fontId="0" fillId="0" borderId="100" xfId="0" applyBorder="1"/>
    <xf numFmtId="3" fontId="0" fillId="85" borderId="91" xfId="0" applyNumberFormat="1" applyFill="1" applyBorder="1"/>
    <xf numFmtId="3" fontId="0" fillId="85" borderId="100" xfId="0" applyNumberFormat="1" applyFill="1" applyBorder="1"/>
    <xf numFmtId="3" fontId="0" fillId="85" borderId="85" xfId="0" applyNumberFormat="1" applyFill="1" applyBorder="1"/>
    <xf numFmtId="3" fontId="0" fillId="85" borderId="94" xfId="0" applyNumberFormat="1" applyFill="1" applyBorder="1"/>
    <xf numFmtId="3" fontId="0" fillId="85" borderId="97" xfId="0" applyNumberFormat="1" applyFill="1" applyBorder="1"/>
    <xf numFmtId="0" fontId="0" fillId="0" borderId="118" xfId="0" applyBorder="1" applyAlignment="1">
      <alignment horizontal="center"/>
    </xf>
    <xf numFmtId="0" fontId="0" fillId="85" borderId="16" xfId="0" applyFill="1" applyBorder="1"/>
    <xf numFmtId="0" fontId="0" fillId="0" borderId="72" xfId="0" applyBorder="1"/>
    <xf numFmtId="0" fontId="0" fillId="0" borderId="119" xfId="0" applyBorder="1"/>
    <xf numFmtId="4" fontId="0" fillId="0" borderId="0" xfId="0" applyNumberFormat="1" applyBorder="1"/>
    <xf numFmtId="4" fontId="0" fillId="0" borderId="72" xfId="0" applyNumberFormat="1" applyBorder="1"/>
    <xf numFmtId="4" fontId="0" fillId="0" borderId="119" xfId="0" applyNumberFormat="1" applyBorder="1"/>
    <xf numFmtId="0" fontId="0" fillId="85" borderId="0" xfId="0" applyFill="1" applyBorder="1"/>
    <xf numFmtId="3" fontId="0" fillId="85" borderId="0" xfId="0" applyNumberFormat="1" applyFill="1" applyBorder="1"/>
    <xf numFmtId="0" fontId="0" fillId="87" borderId="0" xfId="0" applyFill="1"/>
    <xf numFmtId="0" fontId="54" fillId="87" borderId="0" xfId="0" applyFont="1" applyFill="1"/>
    <xf numFmtId="0" fontId="0" fillId="87" borderId="17" xfId="0" applyFill="1" applyBorder="1"/>
    <xf numFmtId="0" fontId="58" fillId="87" borderId="10" xfId="0" applyFont="1" applyFill="1" applyBorder="1"/>
    <xf numFmtId="0" fontId="0" fillId="87" borderId="97" xfId="0" applyFill="1" applyBorder="1"/>
    <xf numFmtId="3" fontId="16" fillId="87" borderId="0" xfId="0" applyNumberFormat="1" applyFont="1" applyFill="1"/>
    <xf numFmtId="3" fontId="16" fillId="0" borderId="0" xfId="0" applyNumberFormat="1" applyFont="1"/>
    <xf numFmtId="0" fontId="0" fillId="87" borderId="91" xfId="0" applyFill="1" applyBorder="1"/>
    <xf numFmtId="0" fontId="0" fillId="87" borderId="100" xfId="0" applyFill="1" applyBorder="1"/>
    <xf numFmtId="0" fontId="59" fillId="87" borderId="23" xfId="0" applyFont="1" applyFill="1" applyBorder="1" applyAlignment="1">
      <alignment vertical="center"/>
    </xf>
    <xf numFmtId="0" fontId="58" fillId="87" borderId="24" xfId="0" applyFont="1" applyFill="1" applyBorder="1"/>
    <xf numFmtId="0" fontId="59" fillId="87" borderId="0" xfId="0" applyFont="1" applyFill="1" applyBorder="1" applyAlignment="1">
      <alignment vertical="center"/>
    </xf>
    <xf numFmtId="0" fontId="0" fillId="87" borderId="86" xfId="0" applyFill="1" applyBorder="1"/>
    <xf numFmtId="0" fontId="54" fillId="0" borderId="0" xfId="0" applyFont="1"/>
    <xf numFmtId="0" fontId="0" fillId="0" borderId="0" xfId="0" applyAlignment="1">
      <alignment vertical="top" wrapText="1"/>
    </xf>
    <xf numFmtId="0" fontId="16" fillId="67" borderId="110" xfId="0" applyFont="1" applyFill="1" applyBorder="1"/>
    <xf numFmtId="3" fontId="0" fillId="0" borderId="33" xfId="0" applyNumberFormat="1" applyFont="1" applyBorder="1"/>
    <xf numFmtId="3" fontId="0" fillId="0" borderId="54" xfId="0" applyNumberFormat="1" applyFont="1" applyBorder="1"/>
    <xf numFmtId="3" fontId="0" fillId="0" borderId="34" xfId="0" applyNumberFormat="1" applyFont="1" applyBorder="1"/>
    <xf numFmtId="3" fontId="0" fillId="0" borderId="120" xfId="0" applyNumberFormat="1" applyFont="1" applyBorder="1"/>
    <xf numFmtId="3" fontId="0" fillId="58" borderId="122" xfId="0" applyNumberFormat="1" applyFill="1" applyBorder="1"/>
    <xf numFmtId="3" fontId="0" fillId="58" borderId="123" xfId="0" applyNumberFormat="1" applyFill="1" applyBorder="1"/>
    <xf numFmtId="3" fontId="0" fillId="0" borderId="36" xfId="0" applyNumberFormat="1" applyFont="1" applyBorder="1"/>
    <xf numFmtId="3" fontId="0" fillId="0" borderId="55" xfId="0" applyNumberFormat="1" applyFont="1" applyBorder="1"/>
    <xf numFmtId="0" fontId="0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 applyBorder="1"/>
    <xf numFmtId="3" fontId="0" fillId="0" borderId="0" xfId="0" applyNumberFormat="1" applyFill="1" applyBorder="1"/>
    <xf numFmtId="0" fontId="16" fillId="0" borderId="0" xfId="0" applyFont="1" applyFill="1" applyBorder="1" applyAlignment="1">
      <alignment horizontal="center" vertical="center"/>
    </xf>
    <xf numFmtId="3" fontId="0" fillId="58" borderId="124" xfId="0" applyNumberFormat="1" applyFont="1" applyFill="1" applyBorder="1"/>
    <xf numFmtId="3" fontId="0" fillId="58" borderId="36" xfId="0" applyNumberFormat="1" applyFont="1" applyFill="1" applyBorder="1"/>
    <xf numFmtId="0" fontId="0" fillId="58" borderId="92" xfId="0" applyFont="1" applyFill="1" applyBorder="1" applyAlignment="1">
      <alignment horizontal="center" vertical="center"/>
    </xf>
    <xf numFmtId="3" fontId="0" fillId="0" borderId="121" xfId="0" applyNumberFormat="1" applyFont="1" applyBorder="1"/>
    <xf numFmtId="3" fontId="0" fillId="58" borderId="125" xfId="0" applyNumberFormat="1" applyFont="1" applyFill="1" applyBorder="1"/>
    <xf numFmtId="10" fontId="0" fillId="0" borderId="126" xfId="119" applyNumberFormat="1" applyFont="1" applyBorder="1"/>
    <xf numFmtId="10" fontId="0" fillId="0" borderId="127" xfId="119" applyNumberFormat="1" applyFont="1" applyBorder="1"/>
    <xf numFmtId="10" fontId="0" fillId="58" borderId="128" xfId="119" applyNumberFormat="1" applyFont="1" applyFill="1" applyBorder="1"/>
    <xf numFmtId="3" fontId="0" fillId="0" borderId="104" xfId="0" applyNumberFormat="1" applyBorder="1"/>
    <xf numFmtId="3" fontId="0" fillId="0" borderId="33" xfId="0" applyNumberFormat="1" applyFont="1" applyFill="1" applyBorder="1"/>
    <xf numFmtId="3" fontId="0" fillId="0" borderId="54" xfId="0" applyNumberFormat="1" applyFont="1" applyFill="1" applyBorder="1"/>
    <xf numFmtId="3" fontId="0" fillId="0" borderId="34" xfId="0" applyNumberFormat="1" applyFont="1" applyFill="1" applyBorder="1"/>
    <xf numFmtId="3" fontId="0" fillId="0" borderId="120" xfId="0" applyNumberFormat="1" applyFont="1" applyFill="1" applyBorder="1"/>
    <xf numFmtId="10" fontId="0" fillId="61" borderId="35" xfId="0" applyNumberFormat="1" applyFill="1" applyBorder="1"/>
    <xf numFmtId="10" fontId="0" fillId="57" borderId="40" xfId="0" applyNumberFormat="1" applyFill="1" applyBorder="1"/>
    <xf numFmtId="10" fontId="0" fillId="62" borderId="36" xfId="0" applyNumberFormat="1" applyFill="1" applyBorder="1"/>
    <xf numFmtId="0" fontId="0" fillId="88" borderId="16" xfId="0" applyFill="1" applyBorder="1"/>
    <xf numFmtId="3" fontId="0" fillId="0" borderId="120" xfId="0" applyNumberFormat="1" applyBorder="1"/>
    <xf numFmtId="0" fontId="61" fillId="68" borderId="136" xfId="0" applyFont="1" applyFill="1" applyBorder="1" applyAlignment="1">
      <alignment vertical="center"/>
    </xf>
    <xf numFmtId="0" fontId="61" fillId="68" borderId="71" xfId="0" applyFont="1" applyFill="1" applyBorder="1" applyAlignment="1">
      <alignment vertical="center"/>
    </xf>
    <xf numFmtId="0" fontId="61" fillId="68" borderId="0" xfId="0" applyFont="1" applyFill="1" applyBorder="1" applyAlignment="1">
      <alignment vertical="center"/>
    </xf>
    <xf numFmtId="0" fontId="61" fillId="68" borderId="72" xfId="0" applyFont="1" applyFill="1" applyBorder="1" applyAlignment="1">
      <alignment vertical="center"/>
    </xf>
    <xf numFmtId="3" fontId="0" fillId="82" borderId="46" xfId="0" applyNumberFormat="1" applyFill="1" applyBorder="1" applyAlignment="1">
      <alignment horizontal="right" vertical="center"/>
    </xf>
    <xf numFmtId="3" fontId="0" fillId="34" borderId="16" xfId="0" applyNumberFormat="1" applyFill="1" applyBorder="1" applyAlignment="1">
      <alignment horizontal="right" vertical="center"/>
    </xf>
    <xf numFmtId="0" fontId="0" fillId="89" borderId="17" xfId="0" applyFill="1" applyBorder="1"/>
    <xf numFmtId="3" fontId="0" fillId="90" borderId="58" xfId="0" applyNumberFormat="1" applyFill="1" applyBorder="1" applyAlignment="1">
      <alignment horizontal="right" vertical="center"/>
    </xf>
    <xf numFmtId="3" fontId="0" fillId="53" borderId="45" xfId="0" applyNumberFormat="1" applyFill="1" applyBorder="1" applyAlignment="1">
      <alignment horizontal="right" vertical="center"/>
    </xf>
    <xf numFmtId="3" fontId="0" fillId="53" borderId="58" xfId="0" applyNumberFormat="1" applyFill="1" applyBorder="1" applyAlignment="1">
      <alignment horizontal="right" vertical="center"/>
    </xf>
    <xf numFmtId="0" fontId="0" fillId="65" borderId="17" xfId="0" applyFill="1" applyBorder="1"/>
    <xf numFmtId="0" fontId="40" fillId="53" borderId="11" xfId="0" applyFont="1" applyFill="1" applyBorder="1" applyAlignment="1">
      <alignment horizontal="center" vertical="center"/>
    </xf>
    <xf numFmtId="0" fontId="48" fillId="53" borderId="16" xfId="0" applyFont="1" applyFill="1" applyBorder="1" applyAlignment="1">
      <alignment horizontal="center" vertical="center"/>
    </xf>
    <xf numFmtId="0" fontId="0" fillId="92" borderId="17" xfId="0" applyFill="1" applyBorder="1"/>
    <xf numFmtId="3" fontId="0" fillId="91" borderId="46" xfId="0" applyNumberFormat="1" applyFill="1" applyBorder="1" applyAlignment="1">
      <alignment horizontal="right" vertical="center"/>
    </xf>
    <xf numFmtId="0" fontId="0" fillId="70" borderId="17" xfId="0" applyFill="1" applyBorder="1"/>
    <xf numFmtId="0" fontId="16" fillId="53" borderId="13" xfId="0" applyFont="1" applyFill="1" applyBorder="1" applyAlignment="1">
      <alignment horizontal="right" vertical="center"/>
    </xf>
    <xf numFmtId="0" fontId="16" fillId="53" borderId="14" xfId="0" applyFont="1" applyFill="1" applyBorder="1" applyAlignment="1">
      <alignment horizontal="right" vertical="center"/>
    </xf>
    <xf numFmtId="0" fontId="16" fillId="67" borderId="13" xfId="0" applyFont="1" applyFill="1" applyBorder="1" applyAlignment="1">
      <alignment horizontal="right" vertical="center"/>
    </xf>
    <xf numFmtId="0" fontId="16" fillId="53" borderId="0" xfId="0" applyFont="1" applyFill="1" applyBorder="1" applyAlignment="1">
      <alignment horizontal="center" vertical="center"/>
    </xf>
    <xf numFmtId="0" fontId="16" fillId="60" borderId="16" xfId="0" applyFont="1" applyFill="1" applyBorder="1" applyAlignment="1">
      <alignment horizontal="center" vertical="center"/>
    </xf>
    <xf numFmtId="0" fontId="16" fillId="53" borderId="15" xfId="0" applyFont="1" applyFill="1" applyBorder="1"/>
    <xf numFmtId="0" fontId="16" fillId="0" borderId="0" xfId="0" applyFont="1"/>
    <xf numFmtId="0" fontId="40" fillId="53" borderId="23" xfId="0" applyFont="1" applyFill="1" applyBorder="1" applyAlignment="1">
      <alignment horizontal="center" vertical="center"/>
    </xf>
    <xf numFmtId="0" fontId="0" fillId="94" borderId="17" xfId="0" applyFill="1" applyBorder="1"/>
    <xf numFmtId="0" fontId="0" fillId="86" borderId="17" xfId="0" applyFill="1" applyBorder="1"/>
    <xf numFmtId="0" fontId="16" fillId="53" borderId="23" xfId="0" applyFont="1" applyFill="1" applyBorder="1" applyAlignment="1">
      <alignment horizontal="center" vertical="center"/>
    </xf>
    <xf numFmtId="0" fontId="40" fillId="53" borderId="112" xfId="0" applyFont="1" applyFill="1" applyBorder="1" applyAlignment="1">
      <alignment horizontal="center" vertical="center"/>
    </xf>
    <xf numFmtId="0" fontId="40" fillId="53" borderId="142" xfId="0" applyFont="1" applyFill="1" applyBorder="1" applyAlignment="1">
      <alignment horizontal="center" vertical="center"/>
    </xf>
    <xf numFmtId="0" fontId="0" fillId="68" borderId="101" xfId="0" applyFill="1" applyBorder="1"/>
    <xf numFmtId="3" fontId="0" fillId="69" borderId="110" xfId="0" applyNumberFormat="1" applyFill="1" applyBorder="1" applyAlignment="1">
      <alignment horizontal="right" vertical="center"/>
    </xf>
    <xf numFmtId="0" fontId="63" fillId="65" borderId="20" xfId="0" applyFont="1" applyFill="1" applyBorder="1" applyAlignment="1">
      <alignment horizontal="center" vertical="center"/>
    </xf>
    <xf numFmtId="3" fontId="0" fillId="78" borderId="58" xfId="0" applyNumberFormat="1" applyFill="1" applyBorder="1" applyAlignment="1">
      <alignment horizontal="right" vertical="center"/>
    </xf>
    <xf numFmtId="0" fontId="0" fillId="65" borderId="23" xfId="0" applyFill="1" applyBorder="1" applyAlignment="1">
      <alignment horizontal="center" vertical="center"/>
    </xf>
    <xf numFmtId="0" fontId="0" fillId="65" borderId="0" xfId="0" applyFill="1" applyBorder="1" applyAlignment="1">
      <alignment horizontal="center" vertical="center"/>
    </xf>
    <xf numFmtId="0" fontId="0" fillId="65" borderId="0" xfId="0" applyFill="1" applyBorder="1"/>
    <xf numFmtId="0" fontId="0" fillId="65" borderId="0" xfId="0" applyFill="1" applyBorder="1" applyAlignment="1">
      <alignment horizontal="right" vertical="center"/>
    </xf>
    <xf numFmtId="0" fontId="0" fillId="65" borderId="24" xfId="0" applyFill="1" applyBorder="1" applyAlignment="1">
      <alignment horizontal="right" vertical="center"/>
    </xf>
    <xf numFmtId="0" fontId="16" fillId="60" borderId="69" xfId="0" applyFont="1" applyFill="1" applyBorder="1" applyAlignment="1">
      <alignment horizontal="center" vertical="center"/>
    </xf>
    <xf numFmtId="0" fontId="16" fillId="53" borderId="109" xfId="0" applyFont="1" applyFill="1" applyBorder="1" applyAlignment="1">
      <alignment horizontal="center" vertical="center"/>
    </xf>
    <xf numFmtId="0" fontId="16" fillId="53" borderId="136" xfId="0" applyFont="1" applyFill="1" applyBorder="1" applyAlignment="1">
      <alignment horizontal="center" vertical="center"/>
    </xf>
    <xf numFmtId="0" fontId="16" fillId="53" borderId="87" xfId="0" applyFont="1" applyFill="1" applyBorder="1"/>
    <xf numFmtId="0" fontId="16" fillId="53" borderId="86" xfId="0" applyFont="1" applyFill="1" applyBorder="1" applyAlignment="1">
      <alignment horizontal="right" vertical="center"/>
    </xf>
    <xf numFmtId="0" fontId="16" fillId="53" borderId="88" xfId="0" applyFont="1" applyFill="1" applyBorder="1" applyAlignment="1">
      <alignment horizontal="right" vertical="center"/>
    </xf>
    <xf numFmtId="0" fontId="16" fillId="67" borderId="98" xfId="0" applyFont="1" applyFill="1" applyBorder="1" applyAlignment="1">
      <alignment horizontal="right" vertical="center"/>
    </xf>
    <xf numFmtId="0" fontId="46" fillId="60" borderId="67" xfId="0" applyFont="1" applyFill="1" applyBorder="1" applyAlignment="1">
      <alignment horizontal="center" vertical="center"/>
    </xf>
    <xf numFmtId="3" fontId="0" fillId="61" borderId="143" xfId="0" applyNumberFormat="1" applyFill="1" applyBorder="1" applyAlignment="1">
      <alignment horizontal="right" vertical="center"/>
    </xf>
    <xf numFmtId="3" fontId="0" fillId="74" borderId="144" xfId="0" applyNumberFormat="1" applyFill="1" applyBorder="1" applyAlignment="1">
      <alignment horizontal="right" vertical="center"/>
    </xf>
    <xf numFmtId="3" fontId="0" fillId="53" borderId="144" xfId="0" applyNumberFormat="1" applyFill="1" applyBorder="1" applyAlignment="1">
      <alignment horizontal="right" vertical="center"/>
    </xf>
    <xf numFmtId="3" fontId="0" fillId="73" borderId="145" xfId="0" applyNumberFormat="1" applyFill="1" applyBorder="1" applyAlignment="1">
      <alignment horizontal="right" vertical="center"/>
    </xf>
    <xf numFmtId="3" fontId="0" fillId="82" borderId="146" xfId="0" applyNumberFormat="1" applyFill="1" applyBorder="1" applyAlignment="1">
      <alignment horizontal="right" vertical="center"/>
    </xf>
    <xf numFmtId="3" fontId="0" fillId="34" borderId="68" xfId="0" applyNumberFormat="1" applyFill="1" applyBorder="1" applyAlignment="1">
      <alignment horizontal="right" vertical="center"/>
    </xf>
    <xf numFmtId="3" fontId="0" fillId="90" borderId="145" xfId="0" applyNumberFormat="1" applyFill="1" applyBorder="1" applyAlignment="1">
      <alignment horizontal="right" vertical="center"/>
    </xf>
    <xf numFmtId="3" fontId="0" fillId="53" borderId="145" xfId="0" applyNumberFormat="1" applyFill="1" applyBorder="1" applyAlignment="1">
      <alignment horizontal="right" vertical="center"/>
    </xf>
    <xf numFmtId="3" fontId="0" fillId="78" borderId="145" xfId="0" applyNumberFormat="1" applyFill="1" applyBorder="1" applyAlignment="1">
      <alignment horizontal="right" vertical="center"/>
    </xf>
    <xf numFmtId="3" fontId="0" fillId="91" borderId="146" xfId="0" applyNumberFormat="1" applyFill="1" applyBorder="1" applyAlignment="1">
      <alignment horizontal="right" vertical="center"/>
    </xf>
    <xf numFmtId="0" fontId="46" fillId="60" borderId="118" xfId="0" applyFont="1" applyFill="1" applyBorder="1" applyAlignment="1">
      <alignment horizontal="center" vertical="center"/>
    </xf>
    <xf numFmtId="3" fontId="0" fillId="71" borderId="147" xfId="0" applyNumberFormat="1" applyFill="1" applyBorder="1" applyAlignment="1">
      <alignment horizontal="right" vertical="center"/>
    </xf>
    <xf numFmtId="0" fontId="40" fillId="53" borderId="10" xfId="0" applyFont="1" applyFill="1" applyBorder="1" applyAlignment="1">
      <alignment horizontal="center" vertical="center"/>
    </xf>
    <xf numFmtId="0" fontId="0" fillId="68" borderId="10" xfId="0" applyFill="1" applyBorder="1"/>
    <xf numFmtId="3" fontId="0" fillId="69" borderId="16" xfId="0" applyNumberFormat="1" applyFill="1" applyBorder="1" applyAlignment="1">
      <alignment horizontal="right" vertical="center"/>
    </xf>
    <xf numFmtId="3" fontId="0" fillId="69" borderId="23" xfId="0" applyNumberFormat="1" applyFill="1" applyBorder="1" applyAlignment="1">
      <alignment horizontal="right" vertical="center"/>
    </xf>
    <xf numFmtId="3" fontId="0" fillId="71" borderId="148" xfId="0" applyNumberFormat="1" applyFill="1" applyBorder="1" applyAlignment="1">
      <alignment horizontal="right" vertical="center"/>
    </xf>
    <xf numFmtId="0" fontId="40" fillId="53" borderId="105" xfId="0" applyFont="1" applyFill="1" applyBorder="1" applyAlignment="1">
      <alignment horizontal="center" vertical="center"/>
    </xf>
    <xf numFmtId="0" fontId="0" fillId="68" borderId="11" xfId="0" applyFill="1" applyBorder="1"/>
    <xf numFmtId="0" fontId="16" fillId="64" borderId="16" xfId="0" applyFont="1" applyFill="1" applyBorder="1" applyAlignment="1">
      <alignment horizontal="center" vertical="center"/>
    </xf>
    <xf numFmtId="0" fontId="16" fillId="64" borderId="69" xfId="0" applyFont="1" applyFill="1" applyBorder="1" applyAlignment="1">
      <alignment horizontal="center" vertical="center"/>
    </xf>
    <xf numFmtId="0" fontId="45" fillId="64" borderId="67" xfId="0" applyFont="1" applyFill="1" applyBorder="1" applyAlignment="1">
      <alignment horizontal="center" vertical="center"/>
    </xf>
    <xf numFmtId="0" fontId="16" fillId="59" borderId="16" xfId="0" applyFont="1" applyFill="1" applyBorder="1" applyAlignment="1">
      <alignment horizontal="center" vertical="center"/>
    </xf>
    <xf numFmtId="0" fontId="16" fillId="59" borderId="69" xfId="0" applyFont="1" applyFill="1" applyBorder="1" applyAlignment="1">
      <alignment horizontal="center" vertical="center"/>
    </xf>
    <xf numFmtId="0" fontId="47" fillId="59" borderId="67" xfId="0" applyFont="1" applyFill="1" applyBorder="1" applyAlignment="1">
      <alignment horizontal="center" vertical="center"/>
    </xf>
    <xf numFmtId="0" fontId="47" fillId="59" borderId="118" xfId="0" applyFont="1" applyFill="1" applyBorder="1" applyAlignment="1">
      <alignment horizontal="center" vertical="center"/>
    </xf>
    <xf numFmtId="3" fontId="0" fillId="34" borderId="11" xfId="0" applyNumberFormat="1" applyFill="1" applyBorder="1" applyAlignment="1">
      <alignment horizontal="right" vertical="center"/>
    </xf>
    <xf numFmtId="3" fontId="48" fillId="53" borderId="45" xfId="0" applyNumberFormat="1" applyFont="1" applyFill="1" applyBorder="1" applyAlignment="1">
      <alignment horizontal="right" vertical="center"/>
    </xf>
    <xf numFmtId="3" fontId="48" fillId="53" borderId="48" xfId="0" applyNumberFormat="1" applyFont="1" applyFill="1" applyBorder="1" applyAlignment="1">
      <alignment horizontal="right" vertical="center"/>
    </xf>
    <xf numFmtId="3" fontId="0" fillId="53" borderId="48" xfId="0" applyNumberFormat="1" applyFill="1" applyBorder="1" applyAlignment="1">
      <alignment horizontal="right" vertical="center"/>
    </xf>
    <xf numFmtId="3" fontId="0" fillId="78" borderId="45" xfId="0" applyNumberFormat="1" applyFill="1" applyBorder="1" applyAlignment="1">
      <alignment horizontal="right" vertical="center"/>
    </xf>
    <xf numFmtId="0" fontId="44" fillId="58" borderId="21" xfId="0" applyFont="1" applyFill="1" applyBorder="1" applyAlignment="1"/>
    <xf numFmtId="0" fontId="44" fillId="58" borderId="15" xfId="0" applyFont="1" applyFill="1" applyBorder="1" applyAlignment="1"/>
    <xf numFmtId="0" fontId="64" fillId="53" borderId="17" xfId="0" applyFont="1" applyFill="1" applyBorder="1" applyAlignment="1">
      <alignment horizontal="right" vertical="center"/>
    </xf>
    <xf numFmtId="0" fontId="64" fillId="53" borderId="18" xfId="0" applyFont="1" applyFill="1" applyBorder="1" applyAlignment="1">
      <alignment horizontal="right" vertical="center"/>
    </xf>
    <xf numFmtId="0" fontId="64" fillId="67" borderId="17" xfId="0" applyFont="1" applyFill="1" applyBorder="1" applyAlignment="1">
      <alignment horizontal="right" vertical="center"/>
    </xf>
    <xf numFmtId="0" fontId="44" fillId="60" borderId="17" xfId="0" applyFont="1" applyFill="1" applyBorder="1"/>
    <xf numFmtId="3" fontId="44" fillId="61" borderId="44" xfId="0" applyNumberFormat="1" applyFont="1" applyFill="1" applyBorder="1" applyAlignment="1">
      <alignment horizontal="right" vertical="center"/>
    </xf>
    <xf numFmtId="0" fontId="44" fillId="64" borderId="17" xfId="0" applyFont="1" applyFill="1" applyBorder="1"/>
    <xf numFmtId="3" fontId="44" fillId="74" borderId="45" xfId="0" applyNumberFormat="1" applyFont="1" applyFill="1" applyBorder="1" applyAlignment="1">
      <alignment horizontal="right" vertical="center"/>
    </xf>
    <xf numFmtId="0" fontId="44" fillId="70" borderId="17" xfId="0" applyFont="1" applyFill="1" applyBorder="1"/>
    <xf numFmtId="3" fontId="44" fillId="53" borderId="45" xfId="0" applyNumberFormat="1" applyFont="1" applyFill="1" applyBorder="1"/>
    <xf numFmtId="3" fontId="44" fillId="53" borderId="60" xfId="0" applyNumberFormat="1" applyFont="1" applyFill="1" applyBorder="1" applyAlignment="1">
      <alignment horizontal="right" vertical="center"/>
    </xf>
    <xf numFmtId="0" fontId="44" fillId="72" borderId="17" xfId="0" applyFont="1" applyFill="1" applyBorder="1"/>
    <xf numFmtId="3" fontId="44" fillId="73" borderId="58" xfId="0" applyNumberFormat="1" applyFont="1" applyFill="1" applyBorder="1" applyAlignment="1">
      <alignment horizontal="right" vertical="center"/>
    </xf>
    <xf numFmtId="0" fontId="44" fillId="59" borderId="17" xfId="0" applyFont="1" applyFill="1" applyBorder="1"/>
    <xf numFmtId="3" fontId="44" fillId="82" borderId="46" xfId="0" applyNumberFormat="1" applyFont="1" applyFill="1" applyBorder="1" applyAlignment="1">
      <alignment horizontal="right" vertical="center"/>
    </xf>
    <xf numFmtId="0" fontId="44" fillId="86" borderId="13" xfId="0" applyFont="1" applyFill="1" applyBorder="1"/>
    <xf numFmtId="3" fontId="44" fillId="34" borderId="16" xfId="0" applyNumberFormat="1" applyFont="1" applyFill="1" applyBorder="1" applyAlignment="1">
      <alignment horizontal="right" vertical="center"/>
    </xf>
    <xf numFmtId="3" fontId="44" fillId="34" borderId="141" xfId="0" applyNumberFormat="1" applyFont="1" applyFill="1" applyBorder="1" applyAlignment="1">
      <alignment horizontal="right" vertical="center"/>
    </xf>
    <xf numFmtId="0" fontId="44" fillId="89" borderId="17" xfId="0" applyFont="1" applyFill="1" applyBorder="1"/>
    <xf numFmtId="3" fontId="44" fillId="90" borderId="58" xfId="0" applyNumberFormat="1" applyFont="1" applyFill="1" applyBorder="1" applyAlignment="1">
      <alignment horizontal="right" vertical="center"/>
    </xf>
    <xf numFmtId="3" fontId="44" fillId="90" borderId="60" xfId="0" applyNumberFormat="1" applyFont="1" applyFill="1" applyBorder="1" applyAlignment="1">
      <alignment horizontal="right" vertical="center"/>
    </xf>
    <xf numFmtId="0" fontId="44" fillId="65" borderId="17" xfId="0" applyFont="1" applyFill="1" applyBorder="1"/>
    <xf numFmtId="3" fontId="44" fillId="53" borderId="45" xfId="0" applyNumberFormat="1" applyFont="1" applyFill="1" applyBorder="1" applyAlignment="1">
      <alignment horizontal="right" vertical="center"/>
    </xf>
    <xf numFmtId="0" fontId="44" fillId="94" borderId="17" xfId="0" applyFont="1" applyFill="1" applyBorder="1"/>
    <xf numFmtId="3" fontId="44" fillId="93" borderId="58" xfId="0" applyNumberFormat="1" applyFont="1" applyFill="1" applyBorder="1" applyAlignment="1">
      <alignment horizontal="right" vertical="center"/>
    </xf>
    <xf numFmtId="3" fontId="44" fillId="93" borderId="60" xfId="0" applyNumberFormat="1" applyFont="1" applyFill="1" applyBorder="1" applyAlignment="1">
      <alignment horizontal="right" vertical="center"/>
    </xf>
    <xf numFmtId="0" fontId="44" fillId="92" borderId="17" xfId="0" applyFont="1" applyFill="1" applyBorder="1"/>
    <xf numFmtId="3" fontId="44" fillId="91" borderId="46" xfId="0" applyNumberFormat="1" applyFont="1" applyFill="1" applyBorder="1" applyAlignment="1">
      <alignment horizontal="right" vertical="center"/>
    </xf>
    <xf numFmtId="0" fontId="65" fillId="60" borderId="11" xfId="0" applyFont="1" applyFill="1" applyBorder="1"/>
    <xf numFmtId="0" fontId="65" fillId="64" borderId="11" xfId="0" applyFont="1" applyFill="1" applyBorder="1"/>
    <xf numFmtId="0" fontId="65" fillId="59" borderId="11" xfId="0" applyFont="1" applyFill="1" applyBorder="1"/>
    <xf numFmtId="0" fontId="65" fillId="60" borderId="17" xfId="0" applyFont="1" applyFill="1" applyBorder="1"/>
    <xf numFmtId="0" fontId="65" fillId="64" borderId="17" xfId="0" applyFont="1" applyFill="1" applyBorder="1"/>
    <xf numFmtId="0" fontId="65" fillId="70" borderId="17" xfId="0" applyFont="1" applyFill="1" applyBorder="1"/>
    <xf numFmtId="0" fontId="65" fillId="72" borderId="17" xfId="0" applyFont="1" applyFill="1" applyBorder="1"/>
    <xf numFmtId="0" fontId="65" fillId="59" borderId="17" xfId="0" applyFont="1" applyFill="1" applyBorder="1"/>
    <xf numFmtId="0" fontId="65" fillId="86" borderId="13" xfId="0" applyFont="1" applyFill="1" applyBorder="1"/>
    <xf numFmtId="0" fontId="65" fillId="89" borderId="17" xfId="0" applyFont="1" applyFill="1" applyBorder="1"/>
    <xf numFmtId="0" fontId="65" fillId="65" borderId="17" xfId="0" applyFont="1" applyFill="1" applyBorder="1"/>
    <xf numFmtId="0" fontId="65" fillId="94" borderId="17" xfId="0" applyFont="1" applyFill="1" applyBorder="1"/>
    <xf numFmtId="0" fontId="65" fillId="92" borderId="17" xfId="0" applyFont="1" applyFill="1" applyBorder="1"/>
    <xf numFmtId="3" fontId="67" fillId="61" borderId="35" xfId="0" applyNumberFormat="1" applyFont="1" applyFill="1" applyBorder="1"/>
    <xf numFmtId="3" fontId="67" fillId="57" borderId="55" xfId="0" applyNumberFormat="1" applyFont="1" applyFill="1" applyBorder="1"/>
    <xf numFmtId="3" fontId="67" fillId="62" borderId="36" xfId="0" applyNumberFormat="1" applyFont="1" applyFill="1" applyBorder="1"/>
    <xf numFmtId="3" fontId="68" fillId="61" borderId="37" xfId="0" applyNumberFormat="1" applyFont="1" applyFill="1" applyBorder="1"/>
    <xf numFmtId="3" fontId="68" fillId="57" borderId="57" xfId="0" applyNumberFormat="1" applyFont="1" applyFill="1" applyBorder="1"/>
    <xf numFmtId="3" fontId="68" fillId="62" borderId="38" xfId="0" applyNumberFormat="1" applyFont="1" applyFill="1" applyBorder="1"/>
    <xf numFmtId="3" fontId="69" fillId="61" borderId="35" xfId="0" applyNumberFormat="1" applyFont="1" applyFill="1" applyBorder="1"/>
    <xf numFmtId="3" fontId="69" fillId="57" borderId="55" xfId="0" applyNumberFormat="1" applyFont="1" applyFill="1" applyBorder="1"/>
    <xf numFmtId="3" fontId="69" fillId="62" borderId="36" xfId="0" applyNumberFormat="1" applyFont="1" applyFill="1" applyBorder="1"/>
    <xf numFmtId="3" fontId="70" fillId="61" borderId="33" xfId="0" applyNumberFormat="1" applyFont="1" applyFill="1" applyBorder="1"/>
    <xf numFmtId="3" fontId="70" fillId="57" borderId="54" xfId="0" applyNumberFormat="1" applyFont="1" applyFill="1" applyBorder="1"/>
    <xf numFmtId="3" fontId="70" fillId="62" borderId="34" xfId="0" applyNumberFormat="1" applyFont="1" applyFill="1" applyBorder="1"/>
    <xf numFmtId="3" fontId="71" fillId="61" borderId="33" xfId="0" applyNumberFormat="1" applyFont="1" applyFill="1" applyBorder="1"/>
    <xf numFmtId="3" fontId="71" fillId="57" borderId="54" xfId="0" applyNumberFormat="1" applyFont="1" applyFill="1" applyBorder="1"/>
    <xf numFmtId="3" fontId="71" fillId="62" borderId="34" xfId="0" applyNumberFormat="1" applyFont="1" applyFill="1" applyBorder="1"/>
    <xf numFmtId="3" fontId="72" fillId="61" borderId="35" xfId="0" applyNumberFormat="1" applyFont="1" applyFill="1" applyBorder="1"/>
    <xf numFmtId="3" fontId="72" fillId="57" borderId="55" xfId="0" applyNumberFormat="1" applyFont="1" applyFill="1" applyBorder="1"/>
    <xf numFmtId="3" fontId="72" fillId="62" borderId="36" xfId="0" applyNumberFormat="1" applyFont="1" applyFill="1" applyBorder="1"/>
    <xf numFmtId="3" fontId="73" fillId="61" borderId="35" xfId="0" applyNumberFormat="1" applyFont="1" applyFill="1" applyBorder="1"/>
    <xf numFmtId="3" fontId="73" fillId="57" borderId="55" xfId="0" applyNumberFormat="1" applyFont="1" applyFill="1" applyBorder="1"/>
    <xf numFmtId="3" fontId="73" fillId="62" borderId="36" xfId="0" applyNumberFormat="1" applyFont="1" applyFill="1" applyBorder="1"/>
    <xf numFmtId="3" fontId="74" fillId="61" borderId="35" xfId="0" applyNumberFormat="1" applyFont="1" applyFill="1" applyBorder="1"/>
    <xf numFmtId="3" fontId="74" fillId="57" borderId="55" xfId="0" applyNumberFormat="1" applyFont="1" applyFill="1" applyBorder="1"/>
    <xf numFmtId="3" fontId="74" fillId="62" borderId="36" xfId="0" applyNumberFormat="1" applyFont="1" applyFill="1" applyBorder="1"/>
    <xf numFmtId="3" fontId="75" fillId="61" borderId="35" xfId="0" applyNumberFormat="1" applyFont="1" applyFill="1" applyBorder="1"/>
    <xf numFmtId="3" fontId="75" fillId="57" borderId="55" xfId="0" applyNumberFormat="1" applyFont="1" applyFill="1" applyBorder="1"/>
    <xf numFmtId="3" fontId="75" fillId="62" borderId="36" xfId="0" applyNumberFormat="1" applyFont="1" applyFill="1" applyBorder="1"/>
    <xf numFmtId="3" fontId="76" fillId="61" borderId="37" xfId="0" applyNumberFormat="1" applyFont="1" applyFill="1" applyBorder="1"/>
    <xf numFmtId="3" fontId="76" fillId="57" borderId="57" xfId="0" applyNumberFormat="1" applyFont="1" applyFill="1" applyBorder="1"/>
    <xf numFmtId="3" fontId="76" fillId="62" borderId="38" xfId="0" applyNumberFormat="1" applyFont="1" applyFill="1" applyBorder="1"/>
    <xf numFmtId="0" fontId="44" fillId="58" borderId="24" xfId="0" applyFont="1" applyFill="1" applyBorder="1" applyAlignment="1">
      <alignment vertical="center"/>
    </xf>
    <xf numFmtId="0" fontId="44" fillId="58" borderId="15" xfId="0" applyFont="1" applyFill="1" applyBorder="1" applyAlignment="1">
      <alignment vertical="center"/>
    </xf>
    <xf numFmtId="3" fontId="0" fillId="34" borderId="149" xfId="0" applyNumberFormat="1" applyFill="1" applyBorder="1" applyAlignment="1">
      <alignment horizontal="right" vertical="center"/>
    </xf>
    <xf numFmtId="3" fontId="0" fillId="90" borderId="150" xfId="0" applyNumberFormat="1" applyFill="1" applyBorder="1" applyAlignment="1">
      <alignment horizontal="right" vertical="center"/>
    </xf>
    <xf numFmtId="3" fontId="0" fillId="53" borderId="150" xfId="0" applyNumberFormat="1" applyFill="1" applyBorder="1" applyAlignment="1">
      <alignment horizontal="right" vertical="center"/>
    </xf>
    <xf numFmtId="3" fontId="0" fillId="78" borderId="150" xfId="0" applyNumberFormat="1" applyFill="1" applyBorder="1" applyAlignment="1">
      <alignment horizontal="right" vertical="center"/>
    </xf>
    <xf numFmtId="3" fontId="0" fillId="91" borderId="151" xfId="0" applyNumberFormat="1" applyFill="1" applyBorder="1" applyAlignment="1">
      <alignment horizontal="right" vertical="center"/>
    </xf>
    <xf numFmtId="3" fontId="0" fillId="78" borderId="60" xfId="0" applyNumberFormat="1" applyFill="1" applyBorder="1" applyAlignment="1">
      <alignment horizontal="right" vertical="center"/>
    </xf>
    <xf numFmtId="0" fontId="0" fillId="58" borderId="23" xfId="0" applyFill="1" applyBorder="1"/>
    <xf numFmtId="3" fontId="67" fillId="61" borderId="37" xfId="0" applyNumberFormat="1" applyFont="1" applyFill="1" applyBorder="1"/>
    <xf numFmtId="3" fontId="67" fillId="57" borderId="57" xfId="0" applyNumberFormat="1" applyFont="1" applyFill="1" applyBorder="1"/>
    <xf numFmtId="3" fontId="67" fillId="62" borderId="38" xfId="0" applyNumberFormat="1" applyFont="1" applyFill="1" applyBorder="1"/>
    <xf numFmtId="0" fontId="0" fillId="58" borderId="14" xfId="0" applyFill="1" applyBorder="1"/>
    <xf numFmtId="0" fontId="45" fillId="64" borderId="118" xfId="0" applyFont="1" applyFill="1" applyBorder="1" applyAlignment="1">
      <alignment horizontal="center" vertical="center"/>
    </xf>
    <xf numFmtId="0" fontId="66" fillId="53" borderId="22" xfId="0" applyFont="1" applyFill="1" applyBorder="1" applyAlignment="1">
      <alignment vertical="center"/>
    </xf>
    <xf numFmtId="0" fontId="78" fillId="53" borderId="18" xfId="0" applyFont="1" applyFill="1" applyBorder="1" applyAlignment="1">
      <alignment vertical="center"/>
    </xf>
    <xf numFmtId="0" fontId="78" fillId="53" borderId="19" xfId="0" applyFont="1" applyFill="1" applyBorder="1" applyAlignment="1">
      <alignment vertical="center"/>
    </xf>
    <xf numFmtId="0" fontId="77" fillId="53" borderId="19" xfId="0" applyFont="1" applyFill="1" applyBorder="1" applyAlignment="1">
      <alignment vertical="center"/>
    </xf>
    <xf numFmtId="0" fontId="65" fillId="60" borderId="12" xfId="0" applyFont="1" applyFill="1" applyBorder="1" applyAlignment="1"/>
    <xf numFmtId="0" fontId="65" fillId="60" borderId="10" xfId="0" applyFont="1" applyFill="1" applyBorder="1" applyAlignment="1"/>
    <xf numFmtId="0" fontId="65" fillId="64" borderId="14" xfId="0" applyFont="1" applyFill="1" applyBorder="1" applyAlignment="1"/>
    <xf numFmtId="0" fontId="65" fillId="64" borderId="15" xfId="0" applyFont="1" applyFill="1" applyBorder="1" applyAlignment="1"/>
    <xf numFmtId="0" fontId="44" fillId="91" borderId="151" xfId="0" applyFont="1" applyFill="1" applyBorder="1"/>
    <xf numFmtId="3" fontId="0" fillId="0" borderId="152" xfId="0" applyNumberFormat="1" applyBorder="1"/>
    <xf numFmtId="0" fontId="0" fillId="0" borderId="136" xfId="0" applyBorder="1"/>
    <xf numFmtId="3" fontId="0" fillId="0" borderId="122" xfId="0" applyNumberFormat="1" applyBorder="1"/>
    <xf numFmtId="3" fontId="0" fillId="0" borderId="123" xfId="0" applyNumberFormat="1" applyBorder="1"/>
    <xf numFmtId="3" fontId="0" fillId="0" borderId="125" xfId="0" applyNumberFormat="1" applyBorder="1"/>
    <xf numFmtId="3" fontId="0" fillId="58" borderId="113" xfId="0" applyNumberFormat="1" applyFill="1" applyBorder="1"/>
    <xf numFmtId="0" fontId="44" fillId="58" borderId="12" xfId="0" applyFont="1" applyFill="1" applyBorder="1" applyAlignment="1">
      <alignment horizontal="center" vertical="center" textRotation="90"/>
    </xf>
    <xf numFmtId="0" fontId="65" fillId="58" borderId="10" xfId="0" applyFont="1" applyFill="1" applyBorder="1"/>
    <xf numFmtId="0" fontId="44" fillId="58" borderId="14" xfId="0" applyFont="1" applyFill="1" applyBorder="1" applyAlignment="1">
      <alignment horizontal="center" vertical="center" textRotation="90"/>
    </xf>
    <xf numFmtId="0" fontId="65" fillId="58" borderId="15" xfId="0" applyFont="1" applyFill="1" applyBorder="1"/>
    <xf numFmtId="166" fontId="0" fillId="57" borderId="38" xfId="118" applyNumberFormat="1" applyFont="1" applyFill="1" applyBorder="1" applyAlignment="1"/>
    <xf numFmtId="166" fontId="0" fillId="54" borderId="37" xfId="118" applyNumberFormat="1" applyFont="1" applyFill="1" applyBorder="1" applyAlignment="1"/>
    <xf numFmtId="4" fontId="0" fillId="54" borderId="52" xfId="0" applyNumberFormat="1" applyFill="1" applyBorder="1"/>
    <xf numFmtId="4" fontId="0" fillId="57" borderId="43" xfId="0" applyNumberFormat="1" applyFill="1" applyBorder="1"/>
    <xf numFmtId="0" fontId="80" fillId="53" borderId="109" xfId="0" applyFont="1" applyFill="1" applyBorder="1" applyAlignment="1">
      <alignment horizontal="center" vertical="center"/>
    </xf>
    <xf numFmtId="0" fontId="79" fillId="53" borderId="136" xfId="0" applyFont="1" applyFill="1" applyBorder="1" applyAlignment="1">
      <alignment horizontal="center" vertical="center"/>
    </xf>
    <xf numFmtId="0" fontId="79" fillId="53" borderId="111" xfId="0" applyFont="1" applyFill="1" applyBorder="1" applyAlignment="1">
      <alignment horizontal="center" vertical="center"/>
    </xf>
    <xf numFmtId="0" fontId="0" fillId="68" borderId="111" xfId="0" applyFill="1" applyBorder="1"/>
    <xf numFmtId="3" fontId="0" fillId="69" borderId="112" xfId="0" applyNumberFormat="1" applyFill="1" applyBorder="1" applyAlignment="1">
      <alignment horizontal="right" vertical="center"/>
    </xf>
    <xf numFmtId="0" fontId="79" fillId="53" borderId="11" xfId="0" applyFont="1" applyFill="1" applyBorder="1" applyAlignment="1">
      <alignment horizontal="center" vertical="center"/>
    </xf>
    <xf numFmtId="0" fontId="79" fillId="53" borderId="16" xfId="0" applyFont="1" applyFill="1" applyBorder="1" applyAlignment="1">
      <alignment horizontal="center" vertical="center"/>
    </xf>
    <xf numFmtId="0" fontId="79" fillId="53" borderId="13" xfId="0" applyFont="1" applyFill="1" applyBorder="1" applyAlignment="1">
      <alignment horizontal="center" vertical="center"/>
    </xf>
    <xf numFmtId="0" fontId="0" fillId="53" borderId="87" xfId="0" applyFill="1" applyBorder="1"/>
    <xf numFmtId="0" fontId="80" fillId="60" borderId="69" xfId="0" applyFont="1" applyFill="1" applyBorder="1" applyAlignment="1">
      <alignment horizontal="center" vertical="center"/>
    </xf>
    <xf numFmtId="3" fontId="16" fillId="53" borderId="86" xfId="0" applyNumberFormat="1" applyFont="1" applyFill="1" applyBorder="1" applyAlignment="1">
      <alignment horizontal="right" vertical="center"/>
    </xf>
    <xf numFmtId="3" fontId="0" fillId="71" borderId="88" xfId="0" applyNumberFormat="1" applyFill="1" applyBorder="1" applyAlignment="1">
      <alignment horizontal="right" vertical="center"/>
    </xf>
    <xf numFmtId="3" fontId="48" fillId="74" borderId="45" xfId="0" applyNumberFormat="1" applyFont="1" applyFill="1" applyBorder="1" applyAlignment="1">
      <alignment horizontal="right" vertical="center"/>
    </xf>
    <xf numFmtId="3" fontId="48" fillId="74" borderId="48" xfId="0" applyNumberFormat="1" applyFont="1" applyFill="1" applyBorder="1" applyAlignment="1">
      <alignment horizontal="right" vertical="center"/>
    </xf>
    <xf numFmtId="3" fontId="0" fillId="73" borderId="45" xfId="0" applyNumberFormat="1" applyFill="1" applyBorder="1" applyAlignment="1">
      <alignment horizontal="right" vertical="center"/>
    </xf>
    <xf numFmtId="3" fontId="0" fillId="73" borderId="48" xfId="0" applyNumberFormat="1" applyFill="1" applyBorder="1" applyAlignment="1">
      <alignment horizontal="right" vertical="center"/>
    </xf>
    <xf numFmtId="3" fontId="0" fillId="82" borderId="49" xfId="0" applyNumberFormat="1" applyFill="1" applyBorder="1" applyAlignment="1">
      <alignment horizontal="right" vertical="center"/>
    </xf>
    <xf numFmtId="3" fontId="0" fillId="34" borderId="44" xfId="0" applyNumberFormat="1" applyFill="1" applyBorder="1" applyAlignment="1">
      <alignment horizontal="right" vertical="center"/>
    </xf>
    <xf numFmtId="3" fontId="0" fillId="90" borderId="45" xfId="0" applyNumberFormat="1" applyFill="1" applyBorder="1" applyAlignment="1">
      <alignment horizontal="right" vertical="center"/>
    </xf>
    <xf numFmtId="3" fontId="0" fillId="34" borderId="153" xfId="0" applyNumberFormat="1" applyFill="1" applyBorder="1" applyAlignment="1">
      <alignment horizontal="right" vertical="center"/>
    </xf>
    <xf numFmtId="3" fontId="0" fillId="90" borderId="154" xfId="0" applyNumberFormat="1" applyFill="1" applyBorder="1" applyAlignment="1">
      <alignment horizontal="right" vertical="center"/>
    </xf>
    <xf numFmtId="3" fontId="0" fillId="53" borderId="154" xfId="0" applyNumberFormat="1" applyFill="1" applyBorder="1" applyAlignment="1">
      <alignment horizontal="right" vertical="center"/>
    </xf>
    <xf numFmtId="3" fontId="0" fillId="78" borderId="154" xfId="0" applyNumberFormat="1" applyFill="1" applyBorder="1" applyAlignment="1">
      <alignment horizontal="right" vertical="center"/>
    </xf>
    <xf numFmtId="3" fontId="0" fillId="91" borderId="155" xfId="0" applyNumberFormat="1" applyFill="1" applyBorder="1" applyAlignment="1">
      <alignment horizontal="right" vertical="center"/>
    </xf>
    <xf numFmtId="3" fontId="0" fillId="71" borderId="156" xfId="0" applyNumberFormat="1" applyFill="1" applyBorder="1" applyAlignment="1">
      <alignment horizontal="right" vertical="center"/>
    </xf>
    <xf numFmtId="0" fontId="45" fillId="64" borderId="110" xfId="0" applyFont="1" applyFill="1" applyBorder="1" applyAlignment="1">
      <alignment horizontal="center" vertical="center"/>
    </xf>
    <xf numFmtId="3" fontId="0" fillId="71" borderId="157" xfId="0" applyNumberFormat="1" applyFill="1" applyBorder="1" applyAlignment="1">
      <alignment horizontal="right" vertical="center"/>
    </xf>
    <xf numFmtId="0" fontId="0" fillId="53" borderId="15" xfId="0" applyFill="1" applyBorder="1"/>
    <xf numFmtId="3" fontId="16" fillId="53" borderId="13" xfId="0" applyNumberFormat="1" applyFont="1" applyFill="1" applyBorder="1" applyAlignment="1">
      <alignment horizontal="right" vertical="center"/>
    </xf>
    <xf numFmtId="0" fontId="83" fillId="60" borderId="67" xfId="0" applyFont="1" applyFill="1" applyBorder="1" applyAlignment="1">
      <alignment horizontal="center" vertical="center"/>
    </xf>
    <xf numFmtId="0" fontId="83" fillId="60" borderId="118" xfId="0" applyFont="1" applyFill="1" applyBorder="1" applyAlignment="1">
      <alignment horizontal="center" vertical="center"/>
    </xf>
    <xf numFmtId="0" fontId="84" fillId="64" borderId="67" xfId="0" applyFont="1" applyFill="1" applyBorder="1" applyAlignment="1">
      <alignment horizontal="center" vertical="center"/>
    </xf>
    <xf numFmtId="0" fontId="84" fillId="64" borderId="118" xfId="0" applyFont="1" applyFill="1" applyBorder="1" applyAlignment="1">
      <alignment horizontal="center" vertical="center"/>
    </xf>
    <xf numFmtId="0" fontId="16" fillId="53" borderId="108" xfId="0" applyFont="1" applyFill="1" applyBorder="1" applyAlignment="1">
      <alignment horizontal="center" vertical="center"/>
    </xf>
    <xf numFmtId="0" fontId="81" fillId="53" borderId="16" xfId="0" applyFont="1" applyFill="1" applyBorder="1" applyAlignment="1">
      <alignment horizontal="center" vertical="center"/>
    </xf>
    <xf numFmtId="0" fontId="81" fillId="53" borderId="110" xfId="0" applyFont="1" applyFill="1" applyBorder="1" applyAlignment="1">
      <alignment horizontal="center" vertical="center"/>
    </xf>
    <xf numFmtId="0" fontId="82" fillId="59" borderId="67" xfId="0" applyFont="1" applyFill="1" applyBorder="1" applyAlignment="1">
      <alignment horizontal="center" vertical="center"/>
    </xf>
    <xf numFmtId="0" fontId="82" fillId="59" borderId="118" xfId="0" applyFont="1" applyFill="1" applyBorder="1" applyAlignment="1">
      <alignment horizontal="center" vertical="center"/>
    </xf>
    <xf numFmtId="3" fontId="0" fillId="34" borderId="159" xfId="0" applyNumberFormat="1" applyFill="1" applyBorder="1" applyAlignment="1">
      <alignment horizontal="right" vertical="center"/>
    </xf>
    <xf numFmtId="3" fontId="0" fillId="90" borderId="160" xfId="0" applyNumberFormat="1" applyFill="1" applyBorder="1" applyAlignment="1">
      <alignment horizontal="right" vertical="center"/>
    </xf>
    <xf numFmtId="3" fontId="0" fillId="53" borderId="160" xfId="0" applyNumberFormat="1" applyFill="1" applyBorder="1" applyAlignment="1">
      <alignment horizontal="right" vertical="center"/>
    </xf>
    <xf numFmtId="3" fontId="0" fillId="78" borderId="160" xfId="0" applyNumberFormat="1" applyFill="1" applyBorder="1" applyAlignment="1">
      <alignment horizontal="right" vertical="center"/>
    </xf>
    <xf numFmtId="3" fontId="0" fillId="91" borderId="161" xfId="0" applyNumberFormat="1" applyFill="1" applyBorder="1" applyAlignment="1">
      <alignment horizontal="right" vertical="center"/>
    </xf>
    <xf numFmtId="0" fontId="48" fillId="62" borderId="36" xfId="0" applyFont="1" applyFill="1" applyBorder="1"/>
    <xf numFmtId="0" fontId="81" fillId="53" borderId="23" xfId="0" applyFont="1" applyFill="1" applyBorder="1" applyAlignment="1">
      <alignment horizontal="center" vertical="center"/>
    </xf>
    <xf numFmtId="3" fontId="42" fillId="71" borderId="98" xfId="0" applyNumberFormat="1" applyFont="1" applyFill="1" applyBorder="1" applyAlignment="1">
      <alignment horizontal="right" vertical="center"/>
    </xf>
    <xf numFmtId="0" fontId="0" fillId="54" borderId="17" xfId="0" applyFill="1" applyBorder="1"/>
    <xf numFmtId="3" fontId="0" fillId="54" borderId="11" xfId="0" applyNumberFormat="1" applyFill="1" applyBorder="1" applyAlignment="1">
      <alignment horizontal="right" vertical="center"/>
    </xf>
    <xf numFmtId="3" fontId="0" fillId="54" borderId="44" xfId="0" applyNumberFormat="1" applyFill="1" applyBorder="1" applyAlignment="1">
      <alignment horizontal="right" vertical="center"/>
    </xf>
    <xf numFmtId="3" fontId="0" fillId="54" borderId="45" xfId="0" applyNumberFormat="1" applyFill="1" applyBorder="1" applyAlignment="1">
      <alignment horizontal="right" vertical="center"/>
    </xf>
    <xf numFmtId="0" fontId="0" fillId="57" borderId="17" xfId="0" applyFill="1" applyBorder="1"/>
    <xf numFmtId="3" fontId="0" fillId="57" borderId="45" xfId="0" applyNumberFormat="1" applyFill="1" applyBorder="1" applyAlignment="1">
      <alignment horizontal="right" vertical="center"/>
    </xf>
    <xf numFmtId="0" fontId="0" fillId="57" borderId="101" xfId="0" applyFill="1" applyBorder="1"/>
    <xf numFmtId="3" fontId="0" fillId="57" borderId="158" xfId="0" applyNumberFormat="1" applyFill="1" applyBorder="1" applyAlignment="1">
      <alignment horizontal="right" vertical="center"/>
    </xf>
    <xf numFmtId="3" fontId="0" fillId="57" borderId="163" xfId="0" applyNumberFormat="1" applyFill="1" applyBorder="1" applyAlignment="1">
      <alignment horizontal="right" vertical="center"/>
    </xf>
    <xf numFmtId="3" fontId="0" fillId="57" borderId="162" xfId="0" applyNumberFormat="1" applyFill="1" applyBorder="1" applyAlignment="1">
      <alignment horizontal="right" vertical="center"/>
    </xf>
    <xf numFmtId="3" fontId="16" fillId="54" borderId="143" xfId="0" applyNumberFormat="1" applyFont="1" applyFill="1" applyBorder="1" applyAlignment="1">
      <alignment horizontal="right" vertical="center"/>
    </xf>
    <xf numFmtId="3" fontId="80" fillId="54" borderId="144" xfId="0" applyNumberFormat="1" applyFont="1" applyFill="1" applyBorder="1" applyAlignment="1">
      <alignment horizontal="right" vertical="center"/>
    </xf>
    <xf numFmtId="0" fontId="0" fillId="53" borderId="17" xfId="0" applyFill="1" applyBorder="1"/>
    <xf numFmtId="0" fontId="0" fillId="53" borderId="11" xfId="0" applyFill="1" applyBorder="1"/>
    <xf numFmtId="0" fontId="0" fillId="53" borderId="101" xfId="0" applyFill="1" applyBorder="1"/>
    <xf numFmtId="0" fontId="85" fillId="0" borderId="0" xfId="0" applyFont="1" applyBorder="1" applyAlignment="1"/>
    <xf numFmtId="0" fontId="0" fillId="70" borderId="69" xfId="0" applyFill="1" applyBorder="1" applyAlignment="1">
      <alignment horizontal="center" vertical="center"/>
    </xf>
    <xf numFmtId="0" fontId="0" fillId="70" borderId="67" xfId="0" applyFill="1" applyBorder="1" applyAlignment="1">
      <alignment horizontal="center" vertical="center"/>
    </xf>
    <xf numFmtId="0" fontId="0" fillId="70" borderId="85" xfId="0" applyFill="1" applyBorder="1" applyAlignment="1">
      <alignment horizontal="center" vertical="center"/>
    </xf>
    <xf numFmtId="0" fontId="0" fillId="34" borderId="94" xfId="0" applyFill="1" applyBorder="1"/>
    <xf numFmtId="0" fontId="0" fillId="68" borderId="67" xfId="0" applyFill="1" applyBorder="1"/>
    <xf numFmtId="0" fontId="0" fillId="56" borderId="67" xfId="0" applyFill="1" applyBorder="1"/>
    <xf numFmtId="0" fontId="0" fillId="88" borderId="67" xfId="0" applyFill="1" applyBorder="1"/>
    <xf numFmtId="0" fontId="16" fillId="67" borderId="118" xfId="0" applyFont="1" applyFill="1" applyBorder="1"/>
    <xf numFmtId="0" fontId="61" fillId="34" borderId="137" xfId="0" applyFont="1" applyFill="1" applyBorder="1" applyAlignment="1">
      <alignment vertical="center"/>
    </xf>
    <xf numFmtId="0" fontId="61" fillId="34" borderId="0" xfId="0" applyFont="1" applyFill="1" applyBorder="1" applyAlignment="1">
      <alignment vertical="center"/>
    </xf>
    <xf numFmtId="0" fontId="61" fillId="34" borderId="139" xfId="0" applyFont="1" applyFill="1" applyBorder="1" applyAlignment="1">
      <alignment vertical="center"/>
    </xf>
    <xf numFmtId="0" fontId="61" fillId="34" borderId="21" xfId="0" applyFont="1" applyFill="1" applyBorder="1" applyAlignment="1">
      <alignment vertical="center"/>
    </xf>
    <xf numFmtId="0" fontId="61" fillId="68" borderId="137" xfId="0" applyFont="1" applyFill="1" applyBorder="1" applyAlignment="1">
      <alignment vertical="center"/>
    </xf>
    <xf numFmtId="0" fontId="61" fillId="68" borderId="139" xfId="0" applyFont="1" applyFill="1" applyBorder="1" applyAlignment="1">
      <alignment vertical="center"/>
    </xf>
    <xf numFmtId="0" fontId="61" fillId="68" borderId="21" xfId="0" applyFont="1" applyFill="1" applyBorder="1" applyAlignment="1">
      <alignment vertical="center"/>
    </xf>
    <xf numFmtId="0" fontId="61" fillId="56" borderId="137" xfId="0" applyFont="1" applyFill="1" applyBorder="1" applyAlignment="1">
      <alignment vertical="center"/>
    </xf>
    <xf numFmtId="0" fontId="61" fillId="56" borderId="0" xfId="0" applyFont="1" applyFill="1" applyBorder="1" applyAlignment="1">
      <alignment vertical="center"/>
    </xf>
    <xf numFmtId="0" fontId="61" fillId="56" borderId="139" xfId="0" applyFont="1" applyFill="1" applyBorder="1" applyAlignment="1">
      <alignment vertical="center"/>
    </xf>
    <xf numFmtId="0" fontId="61" fillId="56" borderId="21" xfId="0" applyFont="1" applyFill="1" applyBorder="1" applyAlignment="1">
      <alignment vertical="center"/>
    </xf>
    <xf numFmtId="0" fontId="61" fillId="88" borderId="137" xfId="0" applyFont="1" applyFill="1" applyBorder="1" applyAlignment="1">
      <alignment vertical="center"/>
    </xf>
    <xf numFmtId="0" fontId="61" fillId="88" borderId="0" xfId="0" applyFont="1" applyFill="1" applyBorder="1" applyAlignment="1">
      <alignment vertical="center"/>
    </xf>
    <xf numFmtId="0" fontId="61" fillId="88" borderId="139" xfId="0" applyFont="1" applyFill="1" applyBorder="1" applyAlignment="1">
      <alignment vertical="center"/>
    </xf>
    <xf numFmtId="0" fontId="61" fillId="88" borderId="21" xfId="0" applyFont="1" applyFill="1" applyBorder="1" applyAlignment="1">
      <alignment vertical="center"/>
    </xf>
    <xf numFmtId="0" fontId="86" fillId="55" borderId="165" xfId="0" applyFont="1" applyFill="1" applyBorder="1" applyAlignment="1">
      <alignment vertical="center"/>
    </xf>
    <xf numFmtId="0" fontId="86" fillId="55" borderId="169" xfId="0" applyFont="1" applyFill="1" applyBorder="1" applyAlignment="1">
      <alignment vertical="center"/>
    </xf>
    <xf numFmtId="0" fontId="86" fillId="55" borderId="170" xfId="0" applyFont="1" applyFill="1" applyBorder="1" applyAlignment="1">
      <alignment vertical="center"/>
    </xf>
    <xf numFmtId="0" fontId="0" fillId="55" borderId="164" xfId="0" applyFill="1" applyBorder="1"/>
    <xf numFmtId="0" fontId="90" fillId="55" borderId="170" xfId="0" applyFont="1" applyFill="1" applyBorder="1" applyAlignment="1">
      <alignment vertical="center"/>
    </xf>
    <xf numFmtId="0" fontId="88" fillId="0" borderId="0" xfId="0" applyFont="1" applyFill="1" applyBorder="1" applyAlignment="1">
      <alignment vertical="center"/>
    </xf>
    <xf numFmtId="0" fontId="0" fillId="0" borderId="166" xfId="0" applyBorder="1"/>
    <xf numFmtId="0" fontId="0" fillId="0" borderId="168" xfId="0" applyBorder="1"/>
    <xf numFmtId="0" fontId="0" fillId="0" borderId="0" xfId="0" applyAlignment="1">
      <alignment horizontal="left"/>
    </xf>
    <xf numFmtId="3" fontId="0" fillId="0" borderId="11" xfId="0" applyNumberFormat="1" applyBorder="1"/>
    <xf numFmtId="3" fontId="0" fillId="0" borderId="13" xfId="0" applyNumberFormat="1" applyBorder="1"/>
    <xf numFmtId="0" fontId="0" fillId="0" borderId="0" xfId="0" applyAlignment="1">
      <alignment vertical="center"/>
    </xf>
    <xf numFmtId="0" fontId="65" fillId="0" borderId="167" xfId="0" applyFont="1" applyBorder="1" applyAlignment="1">
      <alignment vertical="center"/>
    </xf>
    <xf numFmtId="0" fontId="65" fillId="0" borderId="0" xfId="0" applyFont="1" applyAlignment="1">
      <alignment vertical="center"/>
    </xf>
    <xf numFmtId="0" fontId="0" fillId="0" borderId="167" xfId="0" applyBorder="1"/>
    <xf numFmtId="0" fontId="44" fillId="0" borderId="167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0" xfId="0" applyFont="1" applyFill="1" applyBorder="1" applyAlignment="1">
      <alignment vertical="center"/>
    </xf>
    <xf numFmtId="0" fontId="65" fillId="0" borderId="167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88" fillId="55" borderId="170" xfId="0" applyFont="1" applyFill="1" applyBorder="1" applyAlignment="1">
      <alignment vertical="center"/>
    </xf>
    <xf numFmtId="0" fontId="0" fillId="0" borderId="175" xfId="0" applyBorder="1"/>
    <xf numFmtId="0" fontId="0" fillId="0" borderId="178" xfId="0" applyBorder="1"/>
    <xf numFmtId="0" fontId="93" fillId="55" borderId="165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43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43" fillId="53" borderId="17" xfId="0" applyFont="1" applyFill="1" applyBorder="1" applyAlignment="1"/>
    <xf numFmtId="0" fontId="0" fillId="53" borderId="17" xfId="0" applyFill="1" applyBorder="1" applyAlignment="1">
      <alignment vertical="center"/>
    </xf>
    <xf numFmtId="0" fontId="0" fillId="53" borderId="11" xfId="0" applyFill="1" applyBorder="1" applyAlignment="1"/>
    <xf numFmtId="0" fontId="44" fillId="0" borderId="18" xfId="0" applyFont="1" applyBorder="1"/>
    <xf numFmtId="0" fontId="44" fillId="0" borderId="0" xfId="0" applyFont="1"/>
    <xf numFmtId="10" fontId="97" fillId="0" borderId="0" xfId="0" applyNumberFormat="1" applyFont="1"/>
    <xf numFmtId="0" fontId="37" fillId="0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vertical="center"/>
    </xf>
    <xf numFmtId="0" fontId="65" fillId="0" borderId="0" xfId="0" applyFont="1" applyFill="1" applyBorder="1"/>
    <xf numFmtId="3" fontId="70" fillId="0" borderId="0" xfId="0" applyNumberFormat="1" applyFont="1" applyFill="1" applyBorder="1"/>
    <xf numFmtId="3" fontId="67" fillId="0" borderId="0" xfId="0" applyNumberFormat="1" applyFont="1" applyFill="1" applyBorder="1"/>
    <xf numFmtId="3" fontId="73" fillId="0" borderId="0" xfId="0" applyNumberFormat="1" applyFont="1" applyFill="1" applyBorder="1"/>
    <xf numFmtId="3" fontId="69" fillId="0" borderId="0" xfId="0" applyNumberFormat="1" applyFont="1" applyFill="1" applyBorder="1"/>
    <xf numFmtId="3" fontId="68" fillId="0" borderId="0" xfId="0" applyNumberFormat="1" applyFont="1" applyFill="1" applyBorder="1"/>
    <xf numFmtId="3" fontId="71" fillId="0" borderId="0" xfId="0" applyNumberFormat="1" applyFont="1" applyFill="1" applyBorder="1"/>
    <xf numFmtId="3" fontId="72" fillId="0" borderId="0" xfId="0" applyNumberFormat="1" applyFont="1" applyFill="1" applyBorder="1"/>
    <xf numFmtId="3" fontId="74" fillId="0" borderId="0" xfId="0" applyNumberFormat="1" applyFont="1" applyFill="1" applyBorder="1"/>
    <xf numFmtId="3" fontId="75" fillId="0" borderId="0" xfId="0" applyNumberFormat="1" applyFont="1" applyFill="1" applyBorder="1"/>
    <xf numFmtId="3" fontId="76" fillId="0" borderId="0" xfId="0" applyNumberFormat="1" applyFont="1" applyFill="1" applyBorder="1"/>
    <xf numFmtId="0" fontId="66" fillId="0" borderId="0" xfId="0" applyFont="1" applyFill="1" applyBorder="1" applyAlignment="1">
      <alignment horizontal="center" vertical="center"/>
    </xf>
    <xf numFmtId="0" fontId="66" fillId="60" borderId="17" xfId="0" applyFont="1" applyFill="1" applyBorder="1"/>
    <xf numFmtId="0" fontId="66" fillId="64" borderId="17" xfId="0" applyFont="1" applyFill="1" applyBorder="1"/>
    <xf numFmtId="0" fontId="66" fillId="59" borderId="17" xfId="0" applyFont="1" applyFill="1" applyBorder="1"/>
    <xf numFmtId="0" fontId="0" fillId="53" borderId="13" xfId="0" applyFill="1" applyBorder="1"/>
    <xf numFmtId="0" fontId="66" fillId="0" borderId="0" xfId="0" applyFont="1" applyFill="1" applyBorder="1"/>
    <xf numFmtId="0" fontId="16" fillId="0" borderId="0" xfId="0" applyFont="1" applyFill="1" applyBorder="1" applyAlignment="1"/>
    <xf numFmtId="0" fontId="98" fillId="0" borderId="0" xfId="0" applyFont="1" applyFill="1" applyBorder="1" applyAlignment="1">
      <alignment horizontal="right" vertical="center"/>
    </xf>
    <xf numFmtId="0" fontId="66" fillId="60" borderId="13" xfId="0" applyFont="1" applyFill="1" applyBorder="1"/>
    <xf numFmtId="0" fontId="66" fillId="64" borderId="13" xfId="0" applyFont="1" applyFill="1" applyBorder="1"/>
    <xf numFmtId="0" fontId="66" fillId="59" borderId="13" xfId="0" applyFont="1" applyFill="1" applyBorder="1"/>
    <xf numFmtId="0" fontId="60" fillId="58" borderId="129" xfId="0" applyFont="1" applyFill="1" applyBorder="1" applyAlignment="1">
      <alignment vertical="center"/>
    </xf>
    <xf numFmtId="0" fontId="0" fillId="58" borderId="130" xfId="0" applyFill="1" applyBorder="1" applyAlignment="1"/>
    <xf numFmtId="0" fontId="0" fillId="58" borderId="131" xfId="0" applyFill="1" applyBorder="1" applyAlignment="1"/>
    <xf numFmtId="0" fontId="0" fillId="58" borderId="132" xfId="0" applyFill="1" applyBorder="1" applyAlignment="1"/>
    <xf numFmtId="0" fontId="0" fillId="58" borderId="133" xfId="0" applyFill="1" applyBorder="1" applyAlignment="1"/>
    <xf numFmtId="0" fontId="0" fillId="58" borderId="134" xfId="0" applyFill="1" applyBorder="1" applyAlignment="1"/>
    <xf numFmtId="0" fontId="44" fillId="58" borderId="14" xfId="0" applyFont="1" applyFill="1" applyBorder="1" applyAlignment="1"/>
    <xf numFmtId="3" fontId="44" fillId="53" borderId="151" xfId="0" applyNumberFormat="1" applyFont="1" applyFill="1" applyBorder="1" applyAlignment="1">
      <alignment horizontal="right" vertical="center"/>
    </xf>
    <xf numFmtId="0" fontId="66" fillId="60" borderId="16" xfId="0" applyFont="1" applyFill="1" applyBorder="1"/>
    <xf numFmtId="0" fontId="66" fillId="64" borderId="16" xfId="0" applyFont="1" applyFill="1" applyBorder="1"/>
    <xf numFmtId="0" fontId="66" fillId="59" borderId="16" xfId="0" applyFont="1" applyFill="1" applyBorder="1"/>
    <xf numFmtId="0" fontId="99" fillId="0" borderId="0" xfId="0" applyFont="1" applyAlignment="1">
      <alignment horizontal="right" vertical="center"/>
    </xf>
    <xf numFmtId="0" fontId="65" fillId="0" borderId="17" xfId="0" applyFont="1" applyBorder="1" applyAlignment="1">
      <alignment horizontal="right" vertical="center"/>
    </xf>
    <xf numFmtId="0" fontId="99" fillId="0" borderId="17" xfId="0" applyFont="1" applyBorder="1" applyAlignment="1">
      <alignment horizontal="right" vertical="center"/>
    </xf>
    <xf numFmtId="0" fontId="100" fillId="0" borderId="17" xfId="0" applyFont="1" applyBorder="1" applyAlignment="1">
      <alignment horizontal="left"/>
    </xf>
    <xf numFmtId="0" fontId="100" fillId="0" borderId="17" xfId="0" applyFont="1" applyBorder="1" applyAlignment="1">
      <alignment horizontal="left" vertical="center"/>
    </xf>
    <xf numFmtId="3" fontId="48" fillId="0" borderId="17" xfId="0" applyNumberFormat="1" applyFont="1" applyBorder="1" applyAlignment="1">
      <alignment horizontal="left"/>
    </xf>
    <xf numFmtId="0" fontId="100" fillId="0" borderId="17" xfId="0" applyFont="1" applyBorder="1" applyAlignment="1">
      <alignment horizontal="right" vertical="center"/>
    </xf>
    <xf numFmtId="3" fontId="48" fillId="0" borderId="17" xfId="0" applyNumberFormat="1" applyFont="1" applyBorder="1" applyAlignment="1">
      <alignment horizontal="right" vertical="center"/>
    </xf>
    <xf numFmtId="0" fontId="101" fillId="0" borderId="17" xfId="0" applyFont="1" applyBorder="1" applyAlignment="1">
      <alignment horizontal="right"/>
    </xf>
    <xf numFmtId="3" fontId="48" fillId="0" borderId="17" xfId="0" applyNumberFormat="1" applyFont="1" applyBorder="1" applyAlignment="1">
      <alignment horizontal="right"/>
    </xf>
    <xf numFmtId="0" fontId="100" fillId="0" borderId="17" xfId="0" applyFont="1" applyBorder="1" applyAlignment="1">
      <alignment horizontal="right" vertical="center" indent="1"/>
    </xf>
    <xf numFmtId="0" fontId="100" fillId="0" borderId="17" xfId="0" applyFont="1" applyBorder="1" applyAlignment="1">
      <alignment horizontal="right"/>
    </xf>
    <xf numFmtId="3" fontId="65" fillId="61" borderId="44" xfId="0" applyNumberFormat="1" applyFont="1" applyFill="1" applyBorder="1" applyAlignment="1">
      <alignment horizontal="right" vertical="center"/>
    </xf>
    <xf numFmtId="3" fontId="65" fillId="74" borderId="45" xfId="0" applyNumberFormat="1" applyFont="1" applyFill="1" applyBorder="1" applyAlignment="1">
      <alignment horizontal="right" vertical="center"/>
    </xf>
    <xf numFmtId="3" fontId="65" fillId="90" borderId="58" xfId="0" applyNumberFormat="1" applyFont="1" applyFill="1" applyBorder="1" applyAlignment="1">
      <alignment horizontal="right" vertical="center"/>
    </xf>
    <xf numFmtId="9" fontId="65" fillId="53" borderId="46" xfId="119" applyFont="1" applyFill="1" applyBorder="1" applyAlignment="1">
      <alignment horizontal="right" vertical="center"/>
    </xf>
    <xf numFmtId="0" fontId="88" fillId="55" borderId="164" xfId="0" applyFont="1" applyFill="1" applyBorder="1" applyAlignment="1">
      <alignment horizontal="center"/>
    </xf>
    <xf numFmtId="0" fontId="37" fillId="55" borderId="165" xfId="0" applyFont="1" applyFill="1" applyBorder="1" applyAlignment="1">
      <alignment horizontal="center"/>
    </xf>
    <xf numFmtId="0" fontId="37" fillId="55" borderId="166" xfId="0" applyFont="1" applyFill="1" applyBorder="1" applyAlignment="1">
      <alignment horizontal="center"/>
    </xf>
    <xf numFmtId="0" fontId="37" fillId="55" borderId="167" xfId="0" applyFont="1" applyFill="1" applyBorder="1" applyAlignment="1">
      <alignment horizontal="center"/>
    </xf>
    <xf numFmtId="0" fontId="37" fillId="55" borderId="0" xfId="0" applyFont="1" applyFill="1" applyBorder="1" applyAlignment="1">
      <alignment horizontal="center"/>
    </xf>
    <xf numFmtId="0" fontId="37" fillId="55" borderId="168" xfId="0" applyFont="1" applyFill="1" applyBorder="1" applyAlignment="1">
      <alignment horizontal="center"/>
    </xf>
    <xf numFmtId="0" fontId="37" fillId="55" borderId="169" xfId="0" applyFont="1" applyFill="1" applyBorder="1" applyAlignment="1">
      <alignment horizontal="center"/>
    </xf>
    <xf numFmtId="0" fontId="37" fillId="55" borderId="170" xfId="0" applyFont="1" applyFill="1" applyBorder="1" applyAlignment="1">
      <alignment horizontal="center"/>
    </xf>
    <xf numFmtId="0" fontId="37" fillId="55" borderId="171" xfId="0" applyFont="1" applyFill="1" applyBorder="1" applyAlignment="1">
      <alignment horizontal="center"/>
    </xf>
    <xf numFmtId="0" fontId="16" fillId="63" borderId="18" xfId="0" applyFont="1" applyFill="1" applyBorder="1" applyAlignment="1">
      <alignment horizontal="center"/>
    </xf>
    <xf numFmtId="0" fontId="16" fillId="63" borderId="19" xfId="0" applyFont="1" applyFill="1" applyBorder="1" applyAlignment="1">
      <alignment horizontal="center"/>
    </xf>
    <xf numFmtId="0" fontId="0" fillId="53" borderId="14" xfId="0" applyFill="1" applyBorder="1" applyAlignment="1">
      <alignment horizontal="center"/>
    </xf>
    <xf numFmtId="0" fontId="0" fillId="53" borderId="15" xfId="0" applyFill="1" applyBorder="1" applyAlignment="1">
      <alignment horizontal="center"/>
    </xf>
    <xf numFmtId="0" fontId="0" fillId="53" borderId="13" xfId="0" applyFill="1" applyBorder="1" applyAlignment="1">
      <alignment horizontal="center"/>
    </xf>
    <xf numFmtId="0" fontId="37" fillId="58" borderId="12" xfId="0" applyFont="1" applyFill="1" applyBorder="1" applyAlignment="1">
      <alignment horizontal="center" vertical="center"/>
    </xf>
    <xf numFmtId="0" fontId="38" fillId="58" borderId="20" xfId="0" applyFont="1" applyFill="1" applyBorder="1" applyAlignment="1">
      <alignment horizontal="center" vertical="center"/>
    </xf>
    <xf numFmtId="0" fontId="38" fillId="58" borderId="14" xfId="0" applyFont="1" applyFill="1" applyBorder="1" applyAlignment="1">
      <alignment horizontal="center" vertical="center"/>
    </xf>
    <xf numFmtId="0" fontId="38" fillId="58" borderId="21" xfId="0" applyFont="1" applyFill="1" applyBorder="1" applyAlignment="1">
      <alignment horizontal="center" vertical="center"/>
    </xf>
    <xf numFmtId="0" fontId="0" fillId="53" borderId="13" xfId="0" applyFill="1" applyBorder="1" applyAlignment="1">
      <alignment horizontal="center" vertical="center"/>
    </xf>
    <xf numFmtId="0" fontId="0" fillId="53" borderId="17" xfId="0" applyFill="1" applyBorder="1" applyAlignment="1">
      <alignment horizontal="center" vertical="center"/>
    </xf>
    <xf numFmtId="0" fontId="0" fillId="53" borderId="18" xfId="0" applyFill="1" applyBorder="1" applyAlignment="1">
      <alignment horizontal="center" vertical="center"/>
    </xf>
    <xf numFmtId="0" fontId="0" fillId="53" borderId="11" xfId="0" applyFill="1" applyBorder="1" applyAlignment="1">
      <alignment horizontal="center" vertical="center"/>
    </xf>
    <xf numFmtId="0" fontId="0" fillId="53" borderId="12" xfId="0" applyFill="1" applyBorder="1" applyAlignment="1">
      <alignment horizontal="center" vertical="center"/>
    </xf>
    <xf numFmtId="0" fontId="90" fillId="55" borderId="165" xfId="0" applyFont="1" applyFill="1" applyBorder="1" applyAlignment="1">
      <alignment horizontal="right" vertical="center"/>
    </xf>
    <xf numFmtId="0" fontId="90" fillId="55" borderId="166" xfId="0" applyFont="1" applyFill="1" applyBorder="1" applyAlignment="1">
      <alignment horizontal="right" vertical="center"/>
    </xf>
    <xf numFmtId="0" fontId="90" fillId="55" borderId="170" xfId="0" applyFont="1" applyFill="1" applyBorder="1" applyAlignment="1">
      <alignment horizontal="right" vertical="center"/>
    </xf>
    <xf numFmtId="0" fontId="90" fillId="55" borderId="171" xfId="0" applyFont="1" applyFill="1" applyBorder="1" applyAlignment="1">
      <alignment horizontal="right" vertical="center"/>
    </xf>
    <xf numFmtId="0" fontId="89" fillId="55" borderId="165" xfId="0" applyFont="1" applyFill="1" applyBorder="1" applyAlignment="1">
      <alignment horizontal="center" vertical="center"/>
    </xf>
    <xf numFmtId="0" fontId="89" fillId="55" borderId="170" xfId="0" applyFont="1" applyFill="1" applyBorder="1" applyAlignment="1">
      <alignment horizontal="center" vertical="center"/>
    </xf>
    <xf numFmtId="0" fontId="43" fillId="53" borderId="18" xfId="0" applyFont="1" applyFill="1" applyBorder="1" applyAlignment="1">
      <alignment horizontal="left"/>
    </xf>
    <xf numFmtId="0" fontId="43" fillId="53" borderId="22" xfId="0" applyFont="1" applyFill="1" applyBorder="1" applyAlignment="1">
      <alignment horizontal="left"/>
    </xf>
    <xf numFmtId="0" fontId="43" fillId="53" borderId="19" xfId="0" applyFont="1" applyFill="1" applyBorder="1" applyAlignment="1">
      <alignment horizontal="left"/>
    </xf>
    <xf numFmtId="0" fontId="94" fillId="55" borderId="164" xfId="0" applyFont="1" applyFill="1" applyBorder="1" applyAlignment="1">
      <alignment horizontal="center"/>
    </xf>
    <xf numFmtId="0" fontId="94" fillId="55" borderId="165" xfId="0" applyFont="1" applyFill="1" applyBorder="1" applyAlignment="1">
      <alignment horizontal="center"/>
    </xf>
    <xf numFmtId="0" fontId="94" fillId="55" borderId="166" xfId="0" applyFont="1" applyFill="1" applyBorder="1" applyAlignment="1">
      <alignment horizontal="center"/>
    </xf>
    <xf numFmtId="0" fontId="94" fillId="55" borderId="169" xfId="0" applyFont="1" applyFill="1" applyBorder="1" applyAlignment="1">
      <alignment horizontal="center"/>
    </xf>
    <xf numFmtId="0" fontId="94" fillId="55" borderId="170" xfId="0" applyFont="1" applyFill="1" applyBorder="1" applyAlignment="1">
      <alignment horizontal="center"/>
    </xf>
    <xf numFmtId="0" fontId="94" fillId="55" borderId="17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16" fillId="0" borderId="172" xfId="0" applyFont="1" applyBorder="1" applyAlignment="1">
      <alignment horizontal="center" vertical="center"/>
    </xf>
    <xf numFmtId="0" fontId="16" fillId="0" borderId="173" xfId="0" applyFont="1" applyBorder="1" applyAlignment="1">
      <alignment horizontal="center" vertical="center"/>
    </xf>
    <xf numFmtId="0" fontId="16" fillId="0" borderId="174" xfId="0" applyFont="1" applyBorder="1" applyAlignment="1">
      <alignment horizontal="center" vertical="center"/>
    </xf>
    <xf numFmtId="0" fontId="88" fillId="55" borderId="165" xfId="0" applyFont="1" applyFill="1" applyBorder="1" applyAlignment="1">
      <alignment horizontal="center" vertical="center"/>
    </xf>
    <xf numFmtId="0" fontId="88" fillId="55" borderId="170" xfId="0" applyFont="1" applyFill="1" applyBorder="1" applyAlignment="1">
      <alignment horizontal="center" vertical="center"/>
    </xf>
    <xf numFmtId="0" fontId="95" fillId="0" borderId="176" xfId="0" applyFont="1" applyBorder="1" applyAlignment="1">
      <alignment horizontal="center"/>
    </xf>
    <xf numFmtId="0" fontId="96" fillId="0" borderId="177" xfId="0" applyFont="1" applyBorder="1" applyAlignment="1">
      <alignment horizontal="center"/>
    </xf>
    <xf numFmtId="0" fontId="96" fillId="0" borderId="179" xfId="0" applyFont="1" applyBorder="1" applyAlignment="1">
      <alignment horizontal="center"/>
    </xf>
    <xf numFmtId="14" fontId="93" fillId="55" borderId="165" xfId="0" applyNumberFormat="1" applyFont="1" applyFill="1" applyBorder="1" applyAlignment="1">
      <alignment horizontal="center" vertical="center"/>
    </xf>
    <xf numFmtId="0" fontId="93" fillId="55" borderId="165" xfId="0" applyFont="1" applyFill="1" applyBorder="1" applyAlignment="1">
      <alignment horizontal="center" vertical="center"/>
    </xf>
    <xf numFmtId="0" fontId="92" fillId="55" borderId="164" xfId="0" applyFont="1" applyFill="1" applyBorder="1" applyAlignment="1">
      <alignment horizontal="center"/>
    </xf>
    <xf numFmtId="0" fontId="92" fillId="55" borderId="166" xfId="0" applyFont="1" applyFill="1" applyBorder="1" applyAlignment="1">
      <alignment horizontal="center"/>
    </xf>
    <xf numFmtId="0" fontId="92" fillId="55" borderId="169" xfId="0" applyFont="1" applyFill="1" applyBorder="1" applyAlignment="1">
      <alignment horizontal="center"/>
    </xf>
    <xf numFmtId="0" fontId="92" fillId="55" borderId="171" xfId="0" applyFont="1" applyFill="1" applyBorder="1" applyAlignment="1">
      <alignment horizontal="center"/>
    </xf>
    <xf numFmtId="0" fontId="92" fillId="55" borderId="165" xfId="0" applyFont="1" applyFill="1" applyBorder="1" applyAlignment="1">
      <alignment horizontal="center"/>
    </xf>
    <xf numFmtId="0" fontId="92" fillId="55" borderId="170" xfId="0" applyFont="1" applyFill="1" applyBorder="1" applyAlignment="1">
      <alignment horizontal="center"/>
    </xf>
    <xf numFmtId="0" fontId="16" fillId="68" borderId="11" xfId="0" applyFont="1" applyFill="1" applyBorder="1" applyAlignment="1">
      <alignment horizontal="center" vertical="center"/>
    </xf>
    <xf numFmtId="0" fontId="16" fillId="68" borderId="13" xfId="0" applyFont="1" applyFill="1" applyBorder="1" applyAlignment="1">
      <alignment horizontal="center" vertical="center"/>
    </xf>
    <xf numFmtId="0" fontId="16" fillId="68" borderId="104" xfId="0" applyFont="1" applyFill="1" applyBorder="1" applyAlignment="1">
      <alignment horizontal="center" vertical="center"/>
    </xf>
    <xf numFmtId="0" fontId="16" fillId="68" borderId="89" xfId="0" applyFont="1" applyFill="1" applyBorder="1" applyAlignment="1">
      <alignment horizontal="center" vertical="center"/>
    </xf>
    <xf numFmtId="0" fontId="0" fillId="70" borderId="114" xfId="0" applyFill="1" applyBorder="1" applyAlignment="1">
      <alignment horizontal="center" vertical="center" wrapText="1"/>
    </xf>
    <xf numFmtId="0" fontId="0" fillId="70" borderId="68" xfId="0" applyFill="1" applyBorder="1" applyAlignment="1">
      <alignment horizontal="center" vertical="center" wrapText="1"/>
    </xf>
    <xf numFmtId="0" fontId="0" fillId="70" borderId="89" xfId="0" applyFill="1" applyBorder="1" applyAlignment="1">
      <alignment horizontal="center" vertical="center" wrapText="1"/>
    </xf>
    <xf numFmtId="0" fontId="61" fillId="34" borderId="136" xfId="0" applyFont="1" applyFill="1" applyBorder="1" applyAlignment="1">
      <alignment horizontal="center" vertical="center"/>
    </xf>
    <xf numFmtId="0" fontId="61" fillId="34" borderId="71" xfId="0" applyFont="1" applyFill="1" applyBorder="1" applyAlignment="1">
      <alignment horizontal="center" vertical="center"/>
    </xf>
    <xf numFmtId="0" fontId="61" fillId="34" borderId="21" xfId="0" applyFont="1" applyFill="1" applyBorder="1" applyAlignment="1">
      <alignment horizontal="center" vertical="center"/>
    </xf>
    <xf numFmtId="0" fontId="61" fillId="34" borderId="140" xfId="0" applyFont="1" applyFill="1" applyBorder="1" applyAlignment="1">
      <alignment horizontal="center" vertical="center"/>
    </xf>
    <xf numFmtId="0" fontId="61" fillId="34" borderId="135" xfId="0" applyFont="1" applyFill="1" applyBorder="1" applyAlignment="1">
      <alignment horizontal="center" vertical="center"/>
    </xf>
    <xf numFmtId="0" fontId="61" fillId="34" borderId="137" xfId="0" applyFont="1" applyFill="1" applyBorder="1" applyAlignment="1">
      <alignment horizontal="center" vertical="center"/>
    </xf>
    <xf numFmtId="0" fontId="61" fillId="34" borderId="0" xfId="0" applyFont="1" applyFill="1" applyBorder="1" applyAlignment="1">
      <alignment horizontal="center" vertical="center"/>
    </xf>
    <xf numFmtId="0" fontId="16" fillId="56" borderId="11" xfId="0" applyFont="1" applyFill="1" applyBorder="1" applyAlignment="1">
      <alignment horizontal="center" vertical="center"/>
    </xf>
    <xf numFmtId="0" fontId="16" fillId="56" borderId="13" xfId="0" applyFont="1" applyFill="1" applyBorder="1" applyAlignment="1">
      <alignment horizontal="center" vertical="center"/>
    </xf>
    <xf numFmtId="0" fontId="16" fillId="56" borderId="104" xfId="0" applyFont="1" applyFill="1" applyBorder="1" applyAlignment="1">
      <alignment horizontal="center" vertical="center"/>
    </xf>
    <xf numFmtId="0" fontId="16" fillId="56" borderId="89" xfId="0" applyFont="1" applyFill="1" applyBorder="1" applyAlignment="1">
      <alignment horizontal="center" vertical="center"/>
    </xf>
    <xf numFmtId="0" fontId="0" fillId="53" borderId="94" xfId="0" applyFill="1" applyBorder="1" applyAlignment="1">
      <alignment horizontal="center" vertical="center"/>
    </xf>
    <xf numFmtId="0" fontId="0" fillId="53" borderId="118" xfId="0" applyFill="1" applyBorder="1" applyAlignment="1">
      <alignment horizontal="center" vertical="center"/>
    </xf>
    <xf numFmtId="0" fontId="0" fillId="53" borderId="67" xfId="0" applyFill="1" applyBorder="1" applyAlignment="1">
      <alignment horizontal="center" vertical="center"/>
    </xf>
    <xf numFmtId="0" fontId="61" fillId="56" borderId="136" xfId="0" applyFont="1" applyFill="1" applyBorder="1" applyAlignment="1">
      <alignment horizontal="center" vertical="center"/>
    </xf>
    <xf numFmtId="0" fontId="61" fillId="56" borderId="71" xfId="0" applyFont="1" applyFill="1" applyBorder="1" applyAlignment="1">
      <alignment horizontal="center" vertical="center"/>
    </xf>
    <xf numFmtId="0" fontId="61" fillId="56" borderId="21" xfId="0" applyFont="1" applyFill="1" applyBorder="1" applyAlignment="1">
      <alignment horizontal="center" vertical="center"/>
    </xf>
    <xf numFmtId="0" fontId="61" fillId="56" borderId="140" xfId="0" applyFont="1" applyFill="1" applyBorder="1" applyAlignment="1">
      <alignment horizontal="center" vertical="center"/>
    </xf>
    <xf numFmtId="0" fontId="61" fillId="68" borderId="135" xfId="0" applyFont="1" applyFill="1" applyBorder="1" applyAlignment="1">
      <alignment horizontal="center" vertical="center"/>
    </xf>
    <xf numFmtId="0" fontId="61" fillId="68" borderId="136" xfId="0" applyFont="1" applyFill="1" applyBorder="1" applyAlignment="1">
      <alignment horizontal="center" vertical="center"/>
    </xf>
    <xf numFmtId="0" fontId="61" fillId="68" borderId="137" xfId="0" applyFont="1" applyFill="1" applyBorder="1" applyAlignment="1">
      <alignment horizontal="center" vertical="center"/>
    </xf>
    <xf numFmtId="0" fontId="61" fillId="68" borderId="0" xfId="0" applyFont="1" applyFill="1" applyBorder="1" applyAlignment="1">
      <alignment horizontal="center" vertical="center"/>
    </xf>
    <xf numFmtId="0" fontId="61" fillId="56" borderId="135" xfId="0" applyFont="1" applyFill="1" applyBorder="1" applyAlignment="1">
      <alignment horizontal="center" vertical="center"/>
    </xf>
    <xf numFmtId="0" fontId="61" fillId="56" borderId="137" xfId="0" applyFont="1" applyFill="1" applyBorder="1" applyAlignment="1">
      <alignment horizontal="center" vertical="center"/>
    </xf>
    <xf numFmtId="0" fontId="61" fillId="56" borderId="0" xfId="0" applyFont="1" applyFill="1" applyBorder="1" applyAlignment="1">
      <alignment horizontal="center" vertical="center"/>
    </xf>
    <xf numFmtId="0" fontId="91" fillId="55" borderId="164" xfId="0" applyFont="1" applyFill="1" applyBorder="1" applyAlignment="1">
      <alignment horizontal="center" vertical="center"/>
    </xf>
    <xf numFmtId="0" fontId="91" fillId="55" borderId="165" xfId="0" applyFont="1" applyFill="1" applyBorder="1" applyAlignment="1">
      <alignment horizontal="center" vertical="center"/>
    </xf>
    <xf numFmtId="0" fontId="91" fillId="55" borderId="166" xfId="0" applyFont="1" applyFill="1" applyBorder="1" applyAlignment="1">
      <alignment horizontal="center" vertical="center"/>
    </xf>
    <xf numFmtId="0" fontId="91" fillId="55" borderId="169" xfId="0" applyFont="1" applyFill="1" applyBorder="1" applyAlignment="1">
      <alignment horizontal="center" vertical="center"/>
    </xf>
    <xf numFmtId="0" fontId="91" fillId="55" borderId="170" xfId="0" applyFont="1" applyFill="1" applyBorder="1" applyAlignment="1">
      <alignment horizontal="center" vertical="center"/>
    </xf>
    <xf numFmtId="0" fontId="91" fillId="55" borderId="171" xfId="0" applyFont="1" applyFill="1" applyBorder="1" applyAlignment="1">
      <alignment horizontal="center" vertical="center"/>
    </xf>
    <xf numFmtId="0" fontId="16" fillId="34" borderId="11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34" borderId="104" xfId="0" applyFont="1" applyFill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39" fillId="0" borderId="137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138" xfId="0" applyFont="1" applyBorder="1" applyAlignment="1">
      <alignment horizontal="center" vertical="center"/>
    </xf>
    <xf numFmtId="0" fontId="39" fillId="0" borderId="111" xfId="0" applyFont="1" applyBorder="1" applyAlignment="1">
      <alignment horizontal="center" vertical="center"/>
    </xf>
    <xf numFmtId="0" fontId="39" fillId="0" borderId="135" xfId="0" applyFont="1" applyBorder="1" applyAlignment="1">
      <alignment horizontal="center" vertical="center"/>
    </xf>
    <xf numFmtId="0" fontId="39" fillId="0" borderId="70" xfId="0" applyFont="1" applyBorder="1" applyAlignment="1">
      <alignment horizontal="center" vertical="center"/>
    </xf>
    <xf numFmtId="0" fontId="48" fillId="70" borderId="135" xfId="0" applyFont="1" applyFill="1" applyBorder="1" applyAlignment="1">
      <alignment horizontal="center" vertical="center"/>
    </xf>
    <xf numFmtId="0" fontId="48" fillId="70" borderId="70" xfId="0" applyFont="1" applyFill="1" applyBorder="1" applyAlignment="1">
      <alignment horizontal="center" vertical="center"/>
    </xf>
    <xf numFmtId="0" fontId="48" fillId="70" borderId="137" xfId="0" applyFont="1" applyFill="1" applyBorder="1" applyAlignment="1">
      <alignment horizontal="center" vertical="center"/>
    </xf>
    <xf numFmtId="0" fontId="48" fillId="70" borderId="24" xfId="0" applyFont="1" applyFill="1" applyBorder="1" applyAlignment="1">
      <alignment horizontal="center" vertical="center"/>
    </xf>
    <xf numFmtId="0" fontId="16" fillId="70" borderId="86" xfId="0" applyFont="1" applyFill="1" applyBorder="1" applyAlignment="1">
      <alignment horizontal="center" vertical="center"/>
    </xf>
    <xf numFmtId="0" fontId="16" fillId="70" borderId="98" xfId="0" applyFont="1" applyFill="1" applyBorder="1" applyAlignment="1">
      <alignment horizontal="center" vertical="center"/>
    </xf>
    <xf numFmtId="0" fontId="0" fillId="70" borderId="108" xfId="0" applyFill="1" applyBorder="1" applyAlignment="1">
      <alignment horizontal="center" vertical="center"/>
    </xf>
    <xf numFmtId="0" fontId="0" fillId="70" borderId="13" xfId="0" applyFill="1" applyBorder="1" applyAlignment="1">
      <alignment horizontal="center" vertical="center"/>
    </xf>
    <xf numFmtId="0" fontId="16" fillId="70" borderId="98" xfId="0" applyFont="1" applyFill="1" applyBorder="1" applyAlignment="1">
      <alignment horizontal="center" vertical="top" wrapText="1"/>
    </xf>
    <xf numFmtId="0" fontId="16" fillId="70" borderId="92" xfId="0" applyFont="1" applyFill="1" applyBorder="1" applyAlignment="1">
      <alignment horizontal="center" vertical="top" wrapText="1"/>
    </xf>
    <xf numFmtId="0" fontId="39" fillId="0" borderId="69" xfId="0" applyFont="1" applyBorder="1" applyAlignment="1">
      <alignment horizontal="center" vertical="center"/>
    </xf>
    <xf numFmtId="0" fontId="39" fillId="0" borderId="67" xfId="0" applyFont="1" applyBorder="1" applyAlignment="1">
      <alignment horizontal="center" vertical="center"/>
    </xf>
    <xf numFmtId="0" fontId="39" fillId="0" borderId="118" xfId="0" applyFont="1" applyBorder="1" applyAlignment="1">
      <alignment horizontal="center" vertical="center"/>
    </xf>
    <xf numFmtId="0" fontId="16" fillId="70" borderId="69" xfId="0" applyFont="1" applyFill="1" applyBorder="1" applyAlignment="1">
      <alignment horizontal="center" vertical="top" wrapText="1"/>
    </xf>
    <xf numFmtId="0" fontId="16" fillId="70" borderId="85" xfId="0" applyFont="1" applyFill="1" applyBorder="1" applyAlignment="1">
      <alignment horizontal="center" vertical="top" wrapText="1"/>
    </xf>
    <xf numFmtId="0" fontId="48" fillId="70" borderId="69" xfId="0" applyFont="1" applyFill="1" applyBorder="1" applyAlignment="1">
      <alignment horizontal="center" vertical="center"/>
    </xf>
    <xf numFmtId="0" fontId="48" fillId="70" borderId="85" xfId="0" applyFont="1" applyFill="1" applyBorder="1" applyAlignment="1">
      <alignment horizontal="center" vertical="center"/>
    </xf>
    <xf numFmtId="0" fontId="61" fillId="88" borderId="136" xfId="0" applyFont="1" applyFill="1" applyBorder="1" applyAlignment="1">
      <alignment horizontal="center" vertical="center"/>
    </xf>
    <xf numFmtId="0" fontId="61" fillId="88" borderId="71" xfId="0" applyFont="1" applyFill="1" applyBorder="1" applyAlignment="1">
      <alignment horizontal="center" vertical="center"/>
    </xf>
    <xf numFmtId="0" fontId="61" fillId="88" borderId="21" xfId="0" applyFont="1" applyFill="1" applyBorder="1" applyAlignment="1">
      <alignment horizontal="center" vertical="center"/>
    </xf>
    <xf numFmtId="0" fontId="61" fillId="88" borderId="140" xfId="0" applyFont="1" applyFill="1" applyBorder="1" applyAlignment="1">
      <alignment horizontal="center" vertical="center"/>
    </xf>
    <xf numFmtId="0" fontId="16" fillId="88" borderId="11" xfId="0" applyFont="1" applyFill="1" applyBorder="1" applyAlignment="1">
      <alignment horizontal="center" vertical="center"/>
    </xf>
    <xf numFmtId="0" fontId="16" fillId="88" borderId="13" xfId="0" applyFont="1" applyFill="1" applyBorder="1" applyAlignment="1">
      <alignment horizontal="center" vertical="center"/>
    </xf>
    <xf numFmtId="0" fontId="16" fillId="88" borderId="104" xfId="0" applyFont="1" applyFill="1" applyBorder="1" applyAlignment="1">
      <alignment horizontal="center" vertical="center"/>
    </xf>
    <xf numFmtId="0" fontId="16" fillId="88" borderId="89" xfId="0" applyFont="1" applyFill="1" applyBorder="1" applyAlignment="1">
      <alignment horizontal="center" vertical="center"/>
    </xf>
    <xf numFmtId="0" fontId="61" fillId="88" borderId="135" xfId="0" applyFont="1" applyFill="1" applyBorder="1" applyAlignment="1">
      <alignment horizontal="center" vertical="center"/>
    </xf>
    <xf numFmtId="0" fontId="61" fillId="88" borderId="137" xfId="0" applyFont="1" applyFill="1" applyBorder="1" applyAlignment="1">
      <alignment horizontal="center" vertical="center"/>
    </xf>
    <xf numFmtId="0" fontId="61" fillId="88" borderId="0" xfId="0" applyFont="1" applyFill="1" applyBorder="1" applyAlignment="1">
      <alignment horizontal="center" vertical="center"/>
    </xf>
    <xf numFmtId="0" fontId="87" fillId="55" borderId="164" xfId="0" applyFont="1" applyFill="1" applyBorder="1" applyAlignment="1">
      <alignment horizontal="center" vertical="center"/>
    </xf>
    <xf numFmtId="0" fontId="87" fillId="55" borderId="165" xfId="0" applyFont="1" applyFill="1" applyBorder="1" applyAlignment="1">
      <alignment horizontal="center" vertical="center"/>
    </xf>
    <xf numFmtId="0" fontId="87" fillId="55" borderId="166" xfId="0" applyFont="1" applyFill="1" applyBorder="1" applyAlignment="1">
      <alignment horizontal="center" vertical="center"/>
    </xf>
    <xf numFmtId="0" fontId="87" fillId="55" borderId="169" xfId="0" applyFont="1" applyFill="1" applyBorder="1" applyAlignment="1">
      <alignment horizontal="center" vertical="center"/>
    </xf>
    <xf numFmtId="0" fontId="87" fillId="55" borderId="170" xfId="0" applyFont="1" applyFill="1" applyBorder="1" applyAlignment="1">
      <alignment horizontal="center" vertical="center"/>
    </xf>
    <xf numFmtId="0" fontId="87" fillId="55" borderId="171" xfId="0" applyFont="1" applyFill="1" applyBorder="1" applyAlignment="1">
      <alignment horizontal="center" vertical="center"/>
    </xf>
    <xf numFmtId="0" fontId="88" fillId="55" borderId="164" xfId="0" applyFont="1" applyFill="1" applyBorder="1" applyAlignment="1">
      <alignment horizontal="center" vertical="center"/>
    </xf>
    <xf numFmtId="0" fontId="88" fillId="55" borderId="166" xfId="0" applyFont="1" applyFill="1" applyBorder="1" applyAlignment="1">
      <alignment horizontal="center" vertical="center"/>
    </xf>
    <xf numFmtId="0" fontId="88" fillId="55" borderId="169" xfId="0" applyFont="1" applyFill="1" applyBorder="1" applyAlignment="1">
      <alignment horizontal="center" vertical="center"/>
    </xf>
    <xf numFmtId="0" fontId="88" fillId="55" borderId="171" xfId="0" applyFont="1" applyFill="1" applyBorder="1" applyAlignment="1">
      <alignment horizontal="center" vertical="center"/>
    </xf>
    <xf numFmtId="0" fontId="0" fillId="53" borderId="18" xfId="0" applyFill="1" applyBorder="1" applyAlignment="1">
      <alignment horizontal="center"/>
    </xf>
    <xf numFmtId="0" fontId="0" fillId="53" borderId="22" xfId="0" applyFill="1" applyBorder="1" applyAlignment="1">
      <alignment horizontal="center"/>
    </xf>
    <xf numFmtId="0" fontId="0" fillId="53" borderId="19" xfId="0" applyFill="1" applyBorder="1" applyAlignment="1">
      <alignment horizontal="center"/>
    </xf>
    <xf numFmtId="0" fontId="0" fillId="53" borderId="17" xfId="0" applyFill="1" applyBorder="1" applyAlignment="1">
      <alignment horizontal="center"/>
    </xf>
    <xf numFmtId="0" fontId="37" fillId="58" borderId="12" xfId="0" applyFont="1" applyFill="1" applyBorder="1" applyAlignment="1">
      <alignment horizontal="left" vertical="center"/>
    </xf>
    <xf numFmtId="0" fontId="37" fillId="58" borderId="20" xfId="0" applyFont="1" applyFill="1" applyBorder="1" applyAlignment="1">
      <alignment horizontal="left" vertical="center"/>
    </xf>
    <xf numFmtId="0" fontId="37" fillId="58" borderId="23" xfId="0" applyFont="1" applyFill="1" applyBorder="1" applyAlignment="1">
      <alignment horizontal="left" vertical="center"/>
    </xf>
    <xf numFmtId="0" fontId="37" fillId="58" borderId="0" xfId="0" applyFont="1" applyFill="1" applyBorder="1" applyAlignment="1">
      <alignment horizontal="left" vertical="center"/>
    </xf>
    <xf numFmtId="0" fontId="37" fillId="58" borderId="21" xfId="0" applyFont="1" applyFill="1" applyBorder="1" applyAlignment="1">
      <alignment horizontal="left" vertical="center"/>
    </xf>
    <xf numFmtId="0" fontId="44" fillId="58" borderId="17" xfId="0" applyFont="1" applyFill="1" applyBorder="1" applyAlignment="1">
      <alignment horizontal="center" vertical="center"/>
    </xf>
    <xf numFmtId="0" fontId="0" fillId="54" borderId="19" xfId="0" applyFill="1" applyBorder="1" applyAlignment="1">
      <alignment horizontal="center"/>
    </xf>
    <xf numFmtId="0" fontId="0" fillId="57" borderId="24" xfId="0" applyFill="1" applyBorder="1" applyAlignment="1">
      <alignment horizontal="center"/>
    </xf>
    <xf numFmtId="0" fontId="0" fillId="57" borderId="111" xfId="0" applyFill="1" applyBorder="1" applyAlignment="1">
      <alignment horizontal="center"/>
    </xf>
    <xf numFmtId="0" fontId="44" fillId="58" borderId="11" xfId="0" applyFont="1" applyFill="1" applyBorder="1" applyAlignment="1">
      <alignment horizontal="center" vertical="center"/>
    </xf>
    <xf numFmtId="0" fontId="44" fillId="58" borderId="16" xfId="0" applyFont="1" applyFill="1" applyBorder="1" applyAlignment="1">
      <alignment horizontal="center" vertical="center"/>
    </xf>
    <xf numFmtId="0" fontId="44" fillId="58" borderId="13" xfId="0" applyFont="1" applyFill="1" applyBorder="1" applyAlignment="1">
      <alignment horizontal="center" vertical="center"/>
    </xf>
    <xf numFmtId="0" fontId="37" fillId="58" borderId="10" xfId="0" applyFont="1" applyFill="1" applyBorder="1" applyAlignment="1">
      <alignment horizontal="left" vertical="center"/>
    </xf>
    <xf numFmtId="0" fontId="37" fillId="58" borderId="15" xfId="0" applyFont="1" applyFill="1" applyBorder="1" applyAlignment="1">
      <alignment horizontal="left" vertical="center"/>
    </xf>
    <xf numFmtId="0" fontId="44" fillId="58" borderId="14" xfId="0" applyFont="1" applyFill="1" applyBorder="1" applyAlignment="1">
      <alignment horizontal="center" vertical="center"/>
    </xf>
    <xf numFmtId="0" fontId="64" fillId="53" borderId="12" xfId="0" applyFont="1" applyFill="1" applyBorder="1" applyAlignment="1">
      <alignment horizontal="center" vertical="center" wrapText="1"/>
    </xf>
    <xf numFmtId="0" fontId="64" fillId="53" borderId="20" xfId="0" applyFont="1" applyFill="1" applyBorder="1" applyAlignment="1">
      <alignment horizontal="center" vertical="center" wrapText="1"/>
    </xf>
    <xf numFmtId="0" fontId="64" fillId="53" borderId="10" xfId="0" applyFont="1" applyFill="1" applyBorder="1" applyAlignment="1">
      <alignment horizontal="center" vertical="center" wrapText="1"/>
    </xf>
    <xf numFmtId="0" fontId="64" fillId="53" borderId="23" xfId="0" applyFont="1" applyFill="1" applyBorder="1" applyAlignment="1">
      <alignment horizontal="center" vertical="center" wrapText="1"/>
    </xf>
    <xf numFmtId="0" fontId="64" fillId="53" borderId="21" xfId="0" applyFont="1" applyFill="1" applyBorder="1" applyAlignment="1">
      <alignment horizontal="center" vertical="center" wrapText="1"/>
    </xf>
    <xf numFmtId="0" fontId="64" fillId="53" borderId="15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/>
    </xf>
    <xf numFmtId="0" fontId="66" fillId="53" borderId="18" xfId="0" applyFont="1" applyFill="1" applyBorder="1" applyAlignment="1">
      <alignment horizontal="center" vertical="center"/>
    </xf>
    <xf numFmtId="0" fontId="66" fillId="53" borderId="22" xfId="0" applyFont="1" applyFill="1" applyBorder="1" applyAlignment="1">
      <alignment horizontal="center" vertical="center"/>
    </xf>
    <xf numFmtId="0" fontId="66" fillId="53" borderId="19" xfId="0" applyFont="1" applyFill="1" applyBorder="1" applyAlignment="1">
      <alignment horizontal="center" vertical="center"/>
    </xf>
    <xf numFmtId="0" fontId="42" fillId="58" borderId="11" xfId="0" applyFont="1" applyFill="1" applyBorder="1" applyAlignment="1">
      <alignment horizontal="center" vertical="center" textRotation="90"/>
    </xf>
    <xf numFmtId="0" fontId="42" fillId="58" borderId="16" xfId="0" applyFont="1" applyFill="1" applyBorder="1" applyAlignment="1">
      <alignment horizontal="center" vertical="center" textRotation="90"/>
    </xf>
    <xf numFmtId="0" fontId="42" fillId="58" borderId="13" xfId="0" applyFont="1" applyFill="1" applyBorder="1" applyAlignment="1">
      <alignment horizontal="center" vertical="center" textRotation="90"/>
    </xf>
    <xf numFmtId="0" fontId="44" fillId="58" borderId="18" xfId="0" applyFont="1" applyFill="1" applyBorder="1" applyAlignment="1">
      <alignment horizontal="center" vertical="center"/>
    </xf>
    <xf numFmtId="0" fontId="37" fillId="58" borderId="24" xfId="0" applyFont="1" applyFill="1" applyBorder="1" applyAlignment="1">
      <alignment horizontal="left" vertical="center"/>
    </xf>
    <xf numFmtId="0" fontId="37" fillId="34" borderId="0" xfId="0" applyFont="1" applyFill="1" applyAlignment="1">
      <alignment horizontal="center"/>
    </xf>
    <xf numFmtId="0" fontId="0" fillId="34" borderId="0" xfId="0" applyFill="1" applyAlignment="1">
      <alignment horizontal="center"/>
    </xf>
    <xf numFmtId="0" fontId="62" fillId="60" borderId="0" xfId="0" applyFont="1" applyFill="1" applyAlignment="1">
      <alignment horizontal="center" vertical="center"/>
    </xf>
    <xf numFmtId="0" fontId="62" fillId="64" borderId="0" xfId="0" applyFont="1" applyFill="1" applyAlignment="1">
      <alignment horizontal="center" vertical="center"/>
    </xf>
    <xf numFmtId="0" fontId="62" fillId="59" borderId="0" xfId="0" applyFont="1" applyFill="1" applyAlignment="1">
      <alignment horizontal="center" vertical="center"/>
    </xf>
    <xf numFmtId="0" fontId="50" fillId="0" borderId="63" xfId="76" applyFont="1" applyBorder="1" applyAlignment="1">
      <alignment horizontal="center"/>
    </xf>
    <xf numFmtId="0" fontId="50" fillId="0" borderId="64" xfId="76" applyFont="1" applyBorder="1" applyAlignment="1">
      <alignment horizontal="center"/>
    </xf>
    <xf numFmtId="0" fontId="50" fillId="0" borderId="65" xfId="76" applyFont="1" applyBorder="1" applyAlignment="1">
      <alignment horizontal="center"/>
    </xf>
    <xf numFmtId="10" fontId="65" fillId="53" borderId="58" xfId="0" applyNumberFormat="1" applyFont="1" applyFill="1" applyBorder="1"/>
    <xf numFmtId="3" fontId="65" fillId="34" borderId="44" xfId="0" applyNumberFormat="1" applyFont="1" applyFill="1" applyBorder="1" applyAlignment="1">
      <alignment horizontal="right" vertical="center"/>
    </xf>
    <xf numFmtId="0" fontId="89" fillId="55" borderId="164" xfId="0" applyFont="1" applyFill="1" applyBorder="1" applyAlignment="1">
      <alignment horizontal="center" vertical="center"/>
    </xf>
    <xf numFmtId="0" fontId="89" fillId="55" borderId="166" xfId="0" applyFont="1" applyFill="1" applyBorder="1" applyAlignment="1">
      <alignment horizontal="center" vertical="center"/>
    </xf>
    <xf numFmtId="0" fontId="89" fillId="55" borderId="169" xfId="0" applyFont="1" applyFill="1" applyBorder="1" applyAlignment="1">
      <alignment horizontal="center" vertical="center"/>
    </xf>
    <xf numFmtId="0" fontId="89" fillId="55" borderId="171" xfId="0" applyFont="1" applyFill="1" applyBorder="1" applyAlignment="1">
      <alignment horizontal="center" vertical="center"/>
    </xf>
  </cellXfs>
  <cellStyles count="120">
    <cellStyle name="20 % - Accent1 2" xfId="3"/>
    <cellStyle name="20 % - Accent2 2" xfId="4"/>
    <cellStyle name="20 % - Accent3 2" xfId="5"/>
    <cellStyle name="20 % - Accent4 2" xfId="6"/>
    <cellStyle name="20 % - Accent5 2" xfId="7"/>
    <cellStyle name="20 % - Accent6 2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 % - Accent1 2" xfId="15"/>
    <cellStyle name="40 % - Accent2 2" xfId="16"/>
    <cellStyle name="40 % - Accent3 2" xfId="17"/>
    <cellStyle name="40 % - Accent4 2" xfId="18"/>
    <cellStyle name="40 % - Accent5 2" xfId="19"/>
    <cellStyle name="40 % - Accent6 2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 % - Accent1 2" xfId="27"/>
    <cellStyle name="60 % - Accent2 2" xfId="28"/>
    <cellStyle name="60 % - Accent3 2" xfId="29"/>
    <cellStyle name="60 % - Accent4 2" xfId="30"/>
    <cellStyle name="60 % - Accent5 2" xfId="31"/>
    <cellStyle name="60 % - Accent6 2" xfId="32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Avertissement 2" xfId="45"/>
    <cellStyle name="Bad" xfId="46"/>
    <cellStyle name="Calcul 2" xfId="47"/>
    <cellStyle name="Calculation" xfId="48"/>
    <cellStyle name="Cellule liée 2" xfId="49"/>
    <cellStyle name="Check Cell" xfId="50"/>
    <cellStyle name="Comma 2" xfId="51"/>
    <cellStyle name="Comma 2 2" xfId="52"/>
    <cellStyle name="Comma 3" xfId="53"/>
    <cellStyle name="Commentaire 2" xfId="54"/>
    <cellStyle name="Currency 2" xfId="55"/>
    <cellStyle name="Currency 2 2" xfId="56"/>
    <cellStyle name="Currency 3" xfId="57"/>
    <cellStyle name="Entrée 2" xfId="58"/>
    <cellStyle name="Euro" xfId="59"/>
    <cellStyle name="Euro 2" xfId="60"/>
    <cellStyle name="Explanatory Text" xfId="61"/>
    <cellStyle name="Good" xfId="62"/>
    <cellStyle name="Heading 1" xfId="63"/>
    <cellStyle name="Heading 2" xfId="64"/>
    <cellStyle name="Heading 3" xfId="65"/>
    <cellStyle name="Heading 4" xfId="66"/>
    <cellStyle name="Input" xfId="67"/>
    <cellStyle name="Insatisfaisant 2" xfId="68"/>
    <cellStyle name="Linked Cell" xfId="69"/>
    <cellStyle name="Milliers" xfId="118" builtinId="3"/>
    <cellStyle name="Milliers 2" xfId="70"/>
    <cellStyle name="Monétaire 2" xfId="71"/>
    <cellStyle name="Monétaire 3" xfId="72"/>
    <cellStyle name="Neutral" xfId="73"/>
    <cellStyle name="Neutre 2" xfId="74"/>
    <cellStyle name="Normal" xfId="0" builtinId="0"/>
    <cellStyle name="Normal 10" xfId="2"/>
    <cellStyle name="Normal 11" xfId="75"/>
    <cellStyle name="Normal 2" xfId="76"/>
    <cellStyle name="Normal 2 2" xfId="77"/>
    <cellStyle name="Normal 2 2 2" xfId="78"/>
    <cellStyle name="Normal 2 3" xfId="79"/>
    <cellStyle name="Normal 2_BDD" xfId="80"/>
    <cellStyle name="Normal 3" xfId="1"/>
    <cellStyle name="Normal 3 2" xfId="81"/>
    <cellStyle name="Normal 3_6 - Valorisation Bareme OFI V1 0" xfId="82"/>
    <cellStyle name="Normal 4" xfId="83"/>
    <cellStyle name="Normal 4 2" xfId="84"/>
    <cellStyle name="Normal 5" xfId="85"/>
    <cellStyle name="Normal 5 2" xfId="86"/>
    <cellStyle name="Normal 5 3" xfId="87"/>
    <cellStyle name="Normal 6" xfId="88"/>
    <cellStyle name="Normal 6 2" xfId="89"/>
    <cellStyle name="Normal 6 3" xfId="90"/>
    <cellStyle name="Normal 7" xfId="91"/>
    <cellStyle name="Normal 7 2" xfId="92"/>
    <cellStyle name="Normal 7 3" xfId="93"/>
    <cellStyle name="Normal 8" xfId="94"/>
    <cellStyle name="Normal 9" xfId="95"/>
    <cellStyle name="Note" xfId="96"/>
    <cellStyle name="Output" xfId="97"/>
    <cellStyle name="Percent 2" xfId="98"/>
    <cellStyle name="Percent 2 2" xfId="99"/>
    <cellStyle name="Percent 2 3" xfId="100"/>
    <cellStyle name="Percent 3" xfId="101"/>
    <cellStyle name="Percent 3 2" xfId="102"/>
    <cellStyle name="Pourcentage" xfId="119" builtinId="5"/>
    <cellStyle name="Pourcentage 2" xfId="103"/>
    <cellStyle name="Pourcentage 3" xfId="104"/>
    <cellStyle name="Satisfaisant 2" xfId="105"/>
    <cellStyle name="Sortie 2" xfId="106"/>
    <cellStyle name="Style 1" xfId="107"/>
    <cellStyle name="Texte explicatif 2" xfId="108"/>
    <cellStyle name="Title" xfId="109"/>
    <cellStyle name="Titre 2" xfId="110"/>
    <cellStyle name="Titre 1 2" xfId="111"/>
    <cellStyle name="Titre 2 2" xfId="112"/>
    <cellStyle name="Titre 3 2" xfId="113"/>
    <cellStyle name="Titre 4 2" xfId="114"/>
    <cellStyle name="Total 2" xfId="115"/>
    <cellStyle name="Vérification 2" xfId="116"/>
    <cellStyle name="Warning Text" xfId="117"/>
  </cellStyles>
  <dxfs count="5"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Style de tableau 1" pivot="0" count="0"/>
  </tableStyles>
  <colors>
    <mruColors>
      <color rgb="FFFCD268"/>
      <color rgb="FF66FF33"/>
      <color rgb="FFCCFF99"/>
      <color rgb="FFCCCCFF"/>
      <color rgb="FFCC99FF"/>
      <color rgb="FFCC3399"/>
      <color rgb="FFFF5050"/>
      <color rgb="FF5DFFC1"/>
      <color rgb="FFFF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Tonnage </a:t>
            </a:r>
          </a:p>
        </c:rich>
      </c:tx>
      <c:layout>
        <c:manualLayout>
          <c:xMode val="edge"/>
          <c:yMode val="edge"/>
          <c:x val="0.46348859992120583"/>
          <c:y val="1.6557377049180325E-2"/>
        </c:manualLayout>
      </c:layout>
      <c:overlay val="1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85349076544493E-2"/>
          <c:y val="0.12088709677419353"/>
          <c:w val="0.92327800022460371"/>
          <c:h val="0.6848344130089898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'!$D$7:$AA$8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'!$D$11:$AA$11</c:f>
              <c:numCache>
                <c:formatCode>#,##0</c:formatCode>
                <c:ptCount val="24"/>
                <c:pt idx="0">
                  <c:v>0</c:v>
                </c:pt>
                <c:pt idx="1">
                  <c:v>18.11211203013676</c:v>
                </c:pt>
                <c:pt idx="2">
                  <c:v>0</c:v>
                </c:pt>
                <c:pt idx="3">
                  <c:v>16.09010540632438</c:v>
                </c:pt>
                <c:pt idx="4">
                  <c:v>0</c:v>
                </c:pt>
                <c:pt idx="5">
                  <c:v>18.145017292688813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533632"/>
        <c:axId val="88535424"/>
      </c:barChart>
      <c:catAx>
        <c:axId val="88533632"/>
        <c:scaling>
          <c:orientation val="minMax"/>
        </c:scaling>
        <c:delete val="0"/>
        <c:axPos val="b"/>
        <c:majorTickMark val="out"/>
        <c:minorTickMark val="none"/>
        <c:tickLblPos val="nextTo"/>
        <c:crossAx val="88535424"/>
        <c:crosses val="autoZero"/>
        <c:auto val="1"/>
        <c:lblAlgn val="ctr"/>
        <c:lblOffset val="100"/>
        <c:noMultiLvlLbl val="0"/>
      </c:catAx>
      <c:valAx>
        <c:axId val="885354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853363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Cout € / T </a:t>
            </a:r>
          </a:p>
        </c:rich>
      </c:tx>
      <c:layout>
        <c:manualLayout>
          <c:xMode val="edge"/>
          <c:yMode val="edge"/>
          <c:x val="0.44774839596224331"/>
          <c:y val="1.2154431216931216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454612421237421E-2"/>
          <c:y val="0.11850033068783071"/>
          <c:w val="0.94800217775832518"/>
          <c:h val="0.719375992063492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'!$D$7:$AA$8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'!$D$17:$AA$17</c:f>
              <c:numCache>
                <c:formatCode>#,##0.00</c:formatCode>
                <c:ptCount val="24"/>
                <c:pt idx="0">
                  <c:v>0</c:v>
                </c:pt>
                <c:pt idx="1">
                  <c:v>59055.674910814007</c:v>
                </c:pt>
                <c:pt idx="2">
                  <c:v>0</c:v>
                </c:pt>
                <c:pt idx="3">
                  <c:v>79357.031402548557</c:v>
                </c:pt>
                <c:pt idx="4">
                  <c:v>0</c:v>
                </c:pt>
                <c:pt idx="5">
                  <c:v>91827.137617078231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01504"/>
        <c:axId val="88903040"/>
      </c:barChart>
      <c:catAx>
        <c:axId val="8890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903040"/>
        <c:crosses val="autoZero"/>
        <c:auto val="1"/>
        <c:lblAlgn val="ctr"/>
        <c:lblOffset val="100"/>
        <c:noMultiLvlLbl val="0"/>
      </c:catAx>
      <c:valAx>
        <c:axId val="8890304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8890150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Montant - en € </a:t>
            </a:r>
          </a:p>
        </c:rich>
      </c:tx>
      <c:layout>
        <c:manualLayout>
          <c:xMode val="edge"/>
          <c:yMode val="edge"/>
          <c:x val="0.41946262184908856"/>
          <c:y val="7.9054232804232766E-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57437541091387E-2"/>
          <c:y val="0.11331944444444444"/>
          <c:w val="0.93794469099276789"/>
          <c:h val="0.705712632275132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'!$D$7:$AA$8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'!$D$15:$AA$15</c:f>
              <c:numCache>
                <c:formatCode>#,##0</c:formatCode>
                <c:ptCount val="24"/>
                <c:pt idx="0">
                  <c:v>0</c:v>
                </c:pt>
                <c:pt idx="1">
                  <c:v>1069623</c:v>
                </c:pt>
                <c:pt idx="2">
                  <c:v>0</c:v>
                </c:pt>
                <c:pt idx="3">
                  <c:v>1276863</c:v>
                </c:pt>
                <c:pt idx="4">
                  <c:v>0</c:v>
                </c:pt>
                <c:pt idx="5">
                  <c:v>1666205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55008"/>
        <c:axId val="89356544"/>
      </c:barChart>
      <c:catAx>
        <c:axId val="89355008"/>
        <c:scaling>
          <c:orientation val="minMax"/>
        </c:scaling>
        <c:delete val="0"/>
        <c:axPos val="b"/>
        <c:majorTickMark val="out"/>
        <c:minorTickMark val="none"/>
        <c:tickLblPos val="nextTo"/>
        <c:crossAx val="89356544"/>
        <c:crosses val="autoZero"/>
        <c:auto val="1"/>
        <c:lblAlgn val="ctr"/>
        <c:lblOffset val="100"/>
        <c:noMultiLvlLbl val="0"/>
      </c:catAx>
      <c:valAx>
        <c:axId val="893565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93550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25" r="0.25" t="0.75" header="0.3" footer="0.3"/>
    <c:pageSetup paperSize="8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Tonnage </a:t>
            </a:r>
          </a:p>
        </c:rich>
      </c:tx>
      <c:layout>
        <c:manualLayout>
          <c:xMode val="edge"/>
          <c:yMode val="edge"/>
          <c:x val="0.45472755323559444"/>
          <c:y val="1.742112482853223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185349076544493E-2"/>
          <c:y val="0.1344938271604938"/>
          <c:w val="0.92327800022460371"/>
          <c:h val="0.6712280521262002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'!$D$37:$AA$38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'!$D$40:$AA$40</c:f>
              <c:numCache>
                <c:formatCode>#,##0</c:formatCode>
                <c:ptCount val="24"/>
                <c:pt idx="0">
                  <c:v>116.47763503307306</c:v>
                </c:pt>
                <c:pt idx="1">
                  <c:v>294.47736671231172</c:v>
                </c:pt>
                <c:pt idx="2">
                  <c:v>116.47763503307306</c:v>
                </c:pt>
                <c:pt idx="3">
                  <c:v>477.89579987951799</c:v>
                </c:pt>
                <c:pt idx="4">
                  <c:v>116.47763503307306</c:v>
                </c:pt>
                <c:pt idx="5">
                  <c:v>123.53278369068408</c:v>
                </c:pt>
                <c:pt idx="6">
                  <c:v>116.47763503307306</c:v>
                </c:pt>
                <c:pt idx="7">
                  <c:v>0</c:v>
                </c:pt>
                <c:pt idx="8">
                  <c:v>116.47763503307306</c:v>
                </c:pt>
                <c:pt idx="9">
                  <c:v>0</c:v>
                </c:pt>
                <c:pt idx="10">
                  <c:v>116.47763503307306</c:v>
                </c:pt>
                <c:pt idx="11">
                  <c:v>0</c:v>
                </c:pt>
                <c:pt idx="12">
                  <c:v>116.47763503307306</c:v>
                </c:pt>
                <c:pt idx="13">
                  <c:v>0</c:v>
                </c:pt>
                <c:pt idx="14">
                  <c:v>116.47763503307306</c:v>
                </c:pt>
                <c:pt idx="15">
                  <c:v>0</c:v>
                </c:pt>
                <c:pt idx="16">
                  <c:v>116.47763503307306</c:v>
                </c:pt>
                <c:pt idx="17">
                  <c:v>0</c:v>
                </c:pt>
                <c:pt idx="18">
                  <c:v>116.47763503307306</c:v>
                </c:pt>
                <c:pt idx="19">
                  <c:v>0</c:v>
                </c:pt>
                <c:pt idx="20">
                  <c:v>116.47763503307306</c:v>
                </c:pt>
                <c:pt idx="21">
                  <c:v>0</c:v>
                </c:pt>
                <c:pt idx="22">
                  <c:v>116.47763503307306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244608"/>
        <c:axId val="88246144"/>
      </c:barChart>
      <c:catAx>
        <c:axId val="8824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88246144"/>
        <c:crosses val="autoZero"/>
        <c:auto val="1"/>
        <c:lblAlgn val="ctr"/>
        <c:lblOffset val="100"/>
        <c:noMultiLvlLbl val="0"/>
      </c:catAx>
      <c:valAx>
        <c:axId val="882461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82446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25" r="0.25" t="0.75" header="0.3" footer="0.3"/>
    <c:pageSetup paperSize="8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Montant - en € </a:t>
            </a:r>
          </a:p>
        </c:rich>
      </c:tx>
      <c:layout>
        <c:manualLayout>
          <c:xMode val="edge"/>
          <c:yMode val="edge"/>
          <c:x val="0.43089042597913207"/>
          <c:y val="1.74211248285322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648713778278677E-2"/>
          <c:y val="0.12228566529492456"/>
          <c:w val="0.93696987063507731"/>
          <c:h val="0.687809670781893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'!$D$37:$AA$38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'!$D$43:$AA$43</c:f>
              <c:numCache>
                <c:formatCode>#,##0</c:formatCode>
                <c:ptCount val="24"/>
                <c:pt idx="0">
                  <c:v>884350.59099084605</c:v>
                </c:pt>
                <c:pt idx="1">
                  <c:v>1385578.0524004267</c:v>
                </c:pt>
                <c:pt idx="2">
                  <c:v>884350.59099084605</c:v>
                </c:pt>
                <c:pt idx="3">
                  <c:v>1385578.0524004267</c:v>
                </c:pt>
                <c:pt idx="4">
                  <c:v>884350.59099084605</c:v>
                </c:pt>
                <c:pt idx="5">
                  <c:v>1385578.0524004267</c:v>
                </c:pt>
                <c:pt idx="6">
                  <c:v>884350.59099084605</c:v>
                </c:pt>
                <c:pt idx="7">
                  <c:v>0</c:v>
                </c:pt>
                <c:pt idx="8">
                  <c:v>884350.59099084605</c:v>
                </c:pt>
                <c:pt idx="9">
                  <c:v>0</c:v>
                </c:pt>
                <c:pt idx="10">
                  <c:v>884350.59099084605</c:v>
                </c:pt>
                <c:pt idx="11">
                  <c:v>0</c:v>
                </c:pt>
                <c:pt idx="12">
                  <c:v>884350.59099084605</c:v>
                </c:pt>
                <c:pt idx="13">
                  <c:v>0</c:v>
                </c:pt>
                <c:pt idx="14">
                  <c:v>884350.59099084605</c:v>
                </c:pt>
                <c:pt idx="15">
                  <c:v>0</c:v>
                </c:pt>
                <c:pt idx="16">
                  <c:v>884350.59099084605</c:v>
                </c:pt>
                <c:pt idx="17">
                  <c:v>0</c:v>
                </c:pt>
                <c:pt idx="18">
                  <c:v>884350.59099084605</c:v>
                </c:pt>
                <c:pt idx="19">
                  <c:v>0</c:v>
                </c:pt>
                <c:pt idx="20">
                  <c:v>884350.59099084605</c:v>
                </c:pt>
                <c:pt idx="21">
                  <c:v>0</c:v>
                </c:pt>
                <c:pt idx="22">
                  <c:v>884350.59099084605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71872"/>
        <c:axId val="88277760"/>
      </c:barChart>
      <c:catAx>
        <c:axId val="8827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88277760"/>
        <c:crosses val="autoZero"/>
        <c:auto val="1"/>
        <c:lblAlgn val="ctr"/>
        <c:lblOffset val="100"/>
        <c:noMultiLvlLbl val="0"/>
      </c:catAx>
      <c:valAx>
        <c:axId val="882777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82718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Coût € / T 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3185349076544493E-2"/>
          <c:y val="0.13884910836762687"/>
          <c:w val="0.92327800022460371"/>
          <c:h val="0.6668727709190672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'!$D$37:$AA$38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'!$D$45:$AA$45</c:f>
              <c:numCache>
                <c:formatCode>#,##0.00</c:formatCode>
                <c:ptCount val="24"/>
                <c:pt idx="0">
                  <c:v>7592.4497500291836</c:v>
                </c:pt>
                <c:pt idx="1">
                  <c:v>4705.210685186752</c:v>
                </c:pt>
                <c:pt idx="2">
                  <c:v>7592.4497500291836</c:v>
                </c:pt>
                <c:pt idx="3">
                  <c:v>2899.330884995733</c:v>
                </c:pt>
                <c:pt idx="4">
                  <c:v>7592.4497500291836</c:v>
                </c:pt>
                <c:pt idx="5">
                  <c:v>11216.278068094054</c:v>
                </c:pt>
                <c:pt idx="6">
                  <c:v>7592.4497500291836</c:v>
                </c:pt>
                <c:pt idx="7">
                  <c:v>0</c:v>
                </c:pt>
                <c:pt idx="8">
                  <c:v>7592.4497500291836</c:v>
                </c:pt>
                <c:pt idx="9">
                  <c:v>0</c:v>
                </c:pt>
                <c:pt idx="10">
                  <c:v>7592.4497500291836</c:v>
                </c:pt>
                <c:pt idx="11">
                  <c:v>0</c:v>
                </c:pt>
                <c:pt idx="12">
                  <c:v>7592.4497500291836</c:v>
                </c:pt>
                <c:pt idx="13">
                  <c:v>0</c:v>
                </c:pt>
                <c:pt idx="14">
                  <c:v>7592.4497500291836</c:v>
                </c:pt>
                <c:pt idx="15">
                  <c:v>0</c:v>
                </c:pt>
                <c:pt idx="16">
                  <c:v>7592.4497500291836</c:v>
                </c:pt>
                <c:pt idx="17">
                  <c:v>0</c:v>
                </c:pt>
                <c:pt idx="18">
                  <c:v>7592.4497500291836</c:v>
                </c:pt>
                <c:pt idx="19">
                  <c:v>0</c:v>
                </c:pt>
                <c:pt idx="20">
                  <c:v>7592.4497500291836</c:v>
                </c:pt>
                <c:pt idx="21">
                  <c:v>0</c:v>
                </c:pt>
                <c:pt idx="22">
                  <c:v>7592.4497500291836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323968"/>
        <c:axId val="88325504"/>
      </c:barChart>
      <c:catAx>
        <c:axId val="88323968"/>
        <c:scaling>
          <c:orientation val="minMax"/>
        </c:scaling>
        <c:delete val="0"/>
        <c:axPos val="b"/>
        <c:majorTickMark val="out"/>
        <c:minorTickMark val="none"/>
        <c:tickLblPos val="nextTo"/>
        <c:crossAx val="88325504"/>
        <c:crosses val="autoZero"/>
        <c:auto val="1"/>
        <c:lblAlgn val="ctr"/>
        <c:lblOffset val="100"/>
        <c:noMultiLvlLbl val="0"/>
      </c:catAx>
      <c:valAx>
        <c:axId val="8832550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8832396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Tonnage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3185349076544493E-2"/>
          <c:y val="0.1344938271604938"/>
          <c:w val="0.92327800022460371"/>
          <c:h val="0.6712280521262002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'!$D$22:$AA$23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'!$D$26:$AA$26</c:f>
              <c:numCache>
                <c:formatCode>#,##0_ ;\-#,##0\ </c:formatCode>
                <c:ptCount val="24"/>
                <c:pt idx="0">
                  <c:v>22.84726560770639</c:v>
                </c:pt>
                <c:pt idx="1">
                  <c:v>44.830852865163536</c:v>
                </c:pt>
                <c:pt idx="2">
                  <c:v>17.265971161746464</c:v>
                </c:pt>
                <c:pt idx="3">
                  <c:v>36.191423412578999</c:v>
                </c:pt>
                <c:pt idx="4">
                  <c:v>0</c:v>
                </c:pt>
                <c:pt idx="5">
                  <c:v>92.589448584202685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396928"/>
        <c:axId val="88398464"/>
      </c:barChart>
      <c:catAx>
        <c:axId val="88396928"/>
        <c:scaling>
          <c:orientation val="minMax"/>
        </c:scaling>
        <c:delete val="0"/>
        <c:axPos val="b"/>
        <c:majorTickMark val="out"/>
        <c:minorTickMark val="none"/>
        <c:tickLblPos val="nextTo"/>
        <c:crossAx val="88398464"/>
        <c:crosses val="autoZero"/>
        <c:auto val="1"/>
        <c:lblAlgn val="ctr"/>
        <c:lblOffset val="100"/>
        <c:noMultiLvlLbl val="0"/>
      </c:catAx>
      <c:valAx>
        <c:axId val="88398464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crossAx val="8839692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Cout € / 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8188770999115829E-2"/>
          <c:y val="0.12228566529492456"/>
          <c:w val="0.95151797819039197"/>
          <c:h val="0.68780967078189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'Budget-Réel '!$C$32</c:f>
              <c:strCache>
                <c:ptCount val="1"/>
                <c:pt idx="0">
                  <c:v>Cout € /T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'!$D$22:$AA$23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'!$D$32:$AA$32</c:f>
              <c:numCache>
                <c:formatCode>#,##0.00_ ;\-#,##0.00\ </c:formatCode>
                <c:ptCount val="24"/>
                <c:pt idx="0">
                  <c:v>112.35338621032157</c:v>
                </c:pt>
                <c:pt idx="1">
                  <c:v>0</c:v>
                </c:pt>
                <c:pt idx="2">
                  <c:v>164.91541654093777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35520"/>
        <c:axId val="89441408"/>
      </c:barChart>
      <c:catAx>
        <c:axId val="8943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89441408"/>
        <c:crosses val="autoZero"/>
        <c:auto val="1"/>
        <c:lblAlgn val="ctr"/>
        <c:lblOffset val="100"/>
        <c:noMultiLvlLbl val="0"/>
      </c:catAx>
      <c:valAx>
        <c:axId val="89441408"/>
        <c:scaling>
          <c:orientation val="minMax"/>
        </c:scaling>
        <c:delete val="0"/>
        <c:axPos val="l"/>
        <c:majorGridlines/>
        <c:numFmt formatCode="#,##0.00_ ;\-#,##0.00\ " sourceLinked="1"/>
        <c:majorTickMark val="out"/>
        <c:minorTickMark val="none"/>
        <c:tickLblPos val="nextTo"/>
        <c:crossAx val="8943552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Montant - en €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4316386678455647E-2"/>
          <c:y val="0.12664094650205762"/>
          <c:w val="0.93539036251105212"/>
          <c:h val="0.683454389574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'Budget-Réel '!$C$30</c:f>
              <c:strCache>
                <c:ptCount val="1"/>
                <c:pt idx="0">
                  <c:v>Montant - en €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'!$D$22:$AA$23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'!$D$30:$AA$30</c:f>
              <c:numCache>
                <c:formatCode>#,##0_ ;\-#,##0\ </c:formatCode>
                <c:ptCount val="24"/>
                <c:pt idx="0">
                  <c:v>2566.9676566724333</c:v>
                </c:pt>
                <c:pt idx="1">
                  <c:v>0</c:v>
                </c:pt>
                <c:pt idx="2">
                  <c:v>2847.4248261232374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55648"/>
        <c:axId val="93757440"/>
      </c:barChart>
      <c:catAx>
        <c:axId val="9375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93757440"/>
        <c:crosses val="autoZero"/>
        <c:auto val="1"/>
        <c:lblAlgn val="ctr"/>
        <c:lblOffset val="100"/>
        <c:noMultiLvlLbl val="0"/>
      </c:catAx>
      <c:valAx>
        <c:axId val="93757440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crossAx val="9375564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Tonnage 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3185349076544493E-2"/>
          <c:y val="0.13013854595336075"/>
          <c:w val="0.92327800022460371"/>
          <c:h val="0.6755833333333333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'!$D$50:$AA$51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'!$D$53:$AA$53</c:f>
              <c:numCache>
                <c:formatCode>#,##0</c:formatCode>
                <c:ptCount val="24"/>
                <c:pt idx="0">
                  <c:v>159098.48878321657</c:v>
                </c:pt>
                <c:pt idx="1">
                  <c:v>459703.64780000004</c:v>
                </c:pt>
                <c:pt idx="2">
                  <c:v>154165.86954718723</c:v>
                </c:pt>
                <c:pt idx="3">
                  <c:v>401953.34600000008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923008"/>
        <c:axId val="94924800"/>
      </c:barChart>
      <c:catAx>
        <c:axId val="94923008"/>
        <c:scaling>
          <c:orientation val="minMax"/>
        </c:scaling>
        <c:delete val="0"/>
        <c:axPos val="b"/>
        <c:majorTickMark val="out"/>
        <c:minorTickMark val="none"/>
        <c:tickLblPos val="nextTo"/>
        <c:crossAx val="94924800"/>
        <c:crosses val="autoZero"/>
        <c:auto val="1"/>
        <c:lblAlgn val="ctr"/>
        <c:lblOffset val="100"/>
        <c:noMultiLvlLbl val="0"/>
      </c:catAx>
      <c:valAx>
        <c:axId val="94924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49230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Cout € / T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6064303414056351E-2"/>
          <c:y val="0.12664094650205762"/>
          <c:w val="0.95364520567722777"/>
          <c:h val="0.68345438957475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'!$D$50:$AA$51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'!$D$56:$AA$56</c:f>
              <c:numCache>
                <c:formatCode>#,##0.00</c:formatCode>
                <c:ptCount val="24"/>
                <c:pt idx="0">
                  <c:v>0</c:v>
                </c:pt>
                <c:pt idx="1">
                  <c:v>1.5188319892043052E-5</c:v>
                </c:pt>
                <c:pt idx="2">
                  <c:v>0</c:v>
                </c:pt>
                <c:pt idx="3">
                  <c:v>1.4376653457072245E-5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54624"/>
        <c:axId val="94956160"/>
      </c:barChart>
      <c:catAx>
        <c:axId val="94954624"/>
        <c:scaling>
          <c:orientation val="minMax"/>
        </c:scaling>
        <c:delete val="0"/>
        <c:axPos val="b"/>
        <c:majorTickMark val="out"/>
        <c:minorTickMark val="none"/>
        <c:tickLblPos val="nextTo"/>
        <c:crossAx val="94956160"/>
        <c:crosses val="autoZero"/>
        <c:auto val="1"/>
        <c:lblAlgn val="ctr"/>
        <c:lblOffset val="100"/>
        <c:noMultiLvlLbl val="0"/>
      </c:catAx>
      <c:valAx>
        <c:axId val="94956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49546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Montant - en €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187594838991019E-2"/>
          <c:y val="0.12228566529492456"/>
          <c:w val="0.93752191425229303"/>
          <c:h val="0.687809670781893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'!$D$50:$AA$51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'!$D$54:$AA$54</c:f>
              <c:numCache>
                <c:formatCode>#,##0</c:formatCode>
                <c:ptCount val="24"/>
                <c:pt idx="0">
                  <c:v>0</c:v>
                </c:pt>
                <c:pt idx="1">
                  <c:v>6.9821260583254938</c:v>
                </c:pt>
                <c:pt idx="2">
                  <c:v>0</c:v>
                </c:pt>
                <c:pt idx="3">
                  <c:v>5.7787439613526574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19008"/>
        <c:axId val="95020544"/>
      </c:barChart>
      <c:catAx>
        <c:axId val="95019008"/>
        <c:scaling>
          <c:orientation val="minMax"/>
        </c:scaling>
        <c:delete val="0"/>
        <c:axPos val="b"/>
        <c:majorTickMark val="out"/>
        <c:minorTickMark val="none"/>
        <c:tickLblPos val="nextTo"/>
        <c:crossAx val="95020544"/>
        <c:crosses val="autoZero"/>
        <c:auto val="1"/>
        <c:lblAlgn val="ctr"/>
        <c:lblOffset val="100"/>
        <c:noMultiLvlLbl val="0"/>
      </c:catAx>
      <c:valAx>
        <c:axId val="950205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50190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BASSIN SUD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530375725421643E-2"/>
          <c:y val="3.8054908946150372E-2"/>
          <c:w val="0.78514372245829622"/>
          <c:h val="0.87607824086256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'BDD-TDB'!$H$16</c:f>
              <c:strCache>
                <c:ptCount val="1"/>
                <c:pt idx="0">
                  <c:v>Moyenne mois antérieurs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'BDD-TDB'!$G$17:$G$19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'BDD-TDB'!$H$17:$H$19</c:f>
              <c:numCache>
                <c:formatCode>General</c:formatCode>
                <c:ptCount val="3"/>
                <c:pt idx="0">
                  <c:v>57864</c:v>
                </c:pt>
                <c:pt idx="1">
                  <c:v>18642.5</c:v>
                </c:pt>
                <c:pt idx="2" formatCode="#,##0">
                  <c:v>76506.5</c:v>
                </c:pt>
              </c:numCache>
            </c:numRef>
          </c:val>
        </c:ser>
        <c:ser>
          <c:idx val="1"/>
          <c:order val="1"/>
          <c:tx>
            <c:strRef>
              <c:f>'BDD-TDB'!$I$16</c:f>
              <c:strCache>
                <c:ptCount val="1"/>
                <c:pt idx="0">
                  <c:v>Derniers mois connus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'BDD-TDB'!$G$17:$G$19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'BDD-TDB'!$I$17:$I$19</c:f>
              <c:numCache>
                <c:formatCode>General</c:formatCode>
                <c:ptCount val="3"/>
                <c:pt idx="0">
                  <c:v>70606</c:v>
                </c:pt>
                <c:pt idx="1">
                  <c:v>6791</c:v>
                </c:pt>
                <c:pt idx="2" formatCode="#,##0">
                  <c:v>77397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29504"/>
        <c:axId val="91031040"/>
      </c:barChart>
      <c:catAx>
        <c:axId val="91029504"/>
        <c:scaling>
          <c:orientation val="minMax"/>
        </c:scaling>
        <c:delete val="0"/>
        <c:axPos val="b"/>
        <c:majorTickMark val="out"/>
        <c:minorTickMark val="none"/>
        <c:tickLblPos val="nextTo"/>
        <c:crossAx val="91031040"/>
        <c:crosses val="autoZero"/>
        <c:auto val="1"/>
        <c:lblAlgn val="ctr"/>
        <c:lblOffset val="100"/>
        <c:noMultiLvlLbl val="0"/>
      </c:catAx>
      <c:valAx>
        <c:axId val="9103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029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851349472328812"/>
          <c:y val="7.1266657220546661E-2"/>
          <c:w val="0.10017124481433427"/>
          <c:h val="0.30219649279058625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BASSIN NORD EST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530375725421643E-2"/>
          <c:y val="3.8054908946150372E-2"/>
          <c:w val="0.78514372245829622"/>
          <c:h val="0.87607824086256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'BDD-TDB'!$L$16</c:f>
              <c:strCache>
                <c:ptCount val="1"/>
                <c:pt idx="0">
                  <c:v>Moyenne mois antérieurs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'BDD-TDB'!$K$17:$K$19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'BDD-TDB'!$L$17:$L$19</c:f>
              <c:numCache>
                <c:formatCode>General</c:formatCode>
                <c:ptCount val="3"/>
                <c:pt idx="0">
                  <c:v>47862.5</c:v>
                </c:pt>
                <c:pt idx="1">
                  <c:v>8660.5</c:v>
                </c:pt>
                <c:pt idx="2" formatCode="#,##0">
                  <c:v>56523</c:v>
                </c:pt>
              </c:numCache>
            </c:numRef>
          </c:val>
        </c:ser>
        <c:ser>
          <c:idx val="1"/>
          <c:order val="1"/>
          <c:tx>
            <c:strRef>
              <c:f>'BDD-TDB'!$M$16</c:f>
              <c:strCache>
                <c:ptCount val="1"/>
                <c:pt idx="0">
                  <c:v>Derniers mois connus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'BDD-TDB'!$K$17:$K$19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'BDD-TDB'!$M$17:$M$19</c:f>
              <c:numCache>
                <c:formatCode>General</c:formatCode>
                <c:ptCount val="3"/>
                <c:pt idx="0">
                  <c:v>32391</c:v>
                </c:pt>
                <c:pt idx="1">
                  <c:v>5476</c:v>
                </c:pt>
                <c:pt idx="2" formatCode="#,##0">
                  <c:v>37867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259776"/>
        <c:axId val="169261312"/>
      </c:barChart>
      <c:catAx>
        <c:axId val="16925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9261312"/>
        <c:crosses val="autoZero"/>
        <c:auto val="1"/>
        <c:lblAlgn val="ctr"/>
        <c:lblOffset val="100"/>
        <c:noMultiLvlLbl val="0"/>
      </c:catAx>
      <c:valAx>
        <c:axId val="16926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259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851349472328812"/>
          <c:y val="7.1266657220546661E-2"/>
          <c:w val="0.10017124481433427"/>
          <c:h val="0.30219649279058625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BASSIN NORD OUEST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530375725421643E-2"/>
          <c:y val="3.8054908946150372E-2"/>
          <c:w val="0.78514372245829622"/>
          <c:h val="0.87607824086256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'BDD-TDB'!$P$16</c:f>
              <c:strCache>
                <c:ptCount val="1"/>
                <c:pt idx="0">
                  <c:v>Moyenne mois antérieurs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'BDD-TDB'!$O$17:$O$19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'BDD-TDB'!$P$17:$P$19</c:f>
              <c:numCache>
                <c:formatCode>General</c:formatCode>
                <c:ptCount val="3"/>
                <c:pt idx="0">
                  <c:v>58833.5</c:v>
                </c:pt>
                <c:pt idx="1">
                  <c:v>10186.5</c:v>
                </c:pt>
                <c:pt idx="2" formatCode="#,##0">
                  <c:v>69020</c:v>
                </c:pt>
              </c:numCache>
            </c:numRef>
          </c:val>
        </c:ser>
        <c:ser>
          <c:idx val="1"/>
          <c:order val="1"/>
          <c:tx>
            <c:strRef>
              <c:f>'BDD-TDB'!$Q$16</c:f>
              <c:strCache>
                <c:ptCount val="1"/>
                <c:pt idx="0">
                  <c:v>Derniers mois connus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'BDD-TDB'!$O$17:$O$19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'BDD-TDB'!$Q$17:$Q$19</c:f>
              <c:numCache>
                <c:formatCode>General</c:formatCode>
                <c:ptCount val="3"/>
                <c:pt idx="0">
                  <c:v>47791</c:v>
                </c:pt>
                <c:pt idx="1">
                  <c:v>3335</c:v>
                </c:pt>
                <c:pt idx="2" formatCode="#,##0">
                  <c:v>51126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98688"/>
        <c:axId val="209173504"/>
      </c:barChart>
      <c:catAx>
        <c:axId val="201698688"/>
        <c:scaling>
          <c:orientation val="minMax"/>
        </c:scaling>
        <c:delete val="0"/>
        <c:axPos val="b"/>
        <c:majorTickMark val="out"/>
        <c:minorTickMark val="none"/>
        <c:tickLblPos val="nextTo"/>
        <c:crossAx val="209173504"/>
        <c:crosses val="autoZero"/>
        <c:auto val="1"/>
        <c:lblAlgn val="ctr"/>
        <c:lblOffset val="100"/>
        <c:noMultiLvlLbl val="0"/>
      </c:catAx>
      <c:valAx>
        <c:axId val="209173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698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851349472328812"/>
          <c:y val="7.1266657220546661E-2"/>
          <c:w val="0.10017124481433427"/>
          <c:h val="0.30219649279058625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 Cumulé</a:t>
            </a:r>
          </a:p>
        </c:rich>
      </c:tx>
      <c:layout>
        <c:manualLayout>
          <c:xMode val="edge"/>
          <c:yMode val="edge"/>
          <c:x val="0.4103290784901922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49212741200834"/>
          <c:y val="8.8748148148148145E-2"/>
          <c:w val="0.82405238403947423"/>
          <c:h val="0.63223611111111111"/>
        </c:manualLayout>
      </c:layout>
      <c:lineChart>
        <c:grouping val="standard"/>
        <c:varyColors val="0"/>
        <c:ser>
          <c:idx val="0"/>
          <c:order val="0"/>
          <c:tx>
            <c:strRef>
              <c:f>'Vol. Ballast Tot. '!$B$9</c:f>
              <c:strCache>
                <c:ptCount val="1"/>
                <c:pt idx="0">
                  <c:v>Cumul Fer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'!$C$9:$N$9</c:f>
              <c:numCache>
                <c:formatCode>#,##0</c:formatCode>
                <c:ptCount val="12"/>
                <c:pt idx="0">
                  <c:v>149781</c:v>
                </c:pt>
                <c:pt idx="1">
                  <c:v>329120</c:v>
                </c:pt>
                <c:pt idx="2">
                  <c:v>479908</c:v>
                </c:pt>
                <c:pt idx="3">
                  <c:v>479908</c:v>
                </c:pt>
                <c:pt idx="4">
                  <c:v>479908</c:v>
                </c:pt>
                <c:pt idx="5">
                  <c:v>479908</c:v>
                </c:pt>
                <c:pt idx="6">
                  <c:v>479908</c:v>
                </c:pt>
                <c:pt idx="7">
                  <c:v>479908</c:v>
                </c:pt>
                <c:pt idx="8">
                  <c:v>479908</c:v>
                </c:pt>
                <c:pt idx="9">
                  <c:v>479908</c:v>
                </c:pt>
                <c:pt idx="10">
                  <c:v>479908</c:v>
                </c:pt>
                <c:pt idx="11">
                  <c:v>479908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'!$B$10</c:f>
              <c:strCache>
                <c:ptCount val="1"/>
                <c:pt idx="0">
                  <c:v>Cumul Route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'!$C$10:$N$10</c:f>
              <c:numCache>
                <c:formatCode>#,##0</c:formatCode>
                <c:ptCount val="12"/>
                <c:pt idx="0">
                  <c:v>28280</c:v>
                </c:pt>
                <c:pt idx="1">
                  <c:v>74979</c:v>
                </c:pt>
                <c:pt idx="2">
                  <c:v>90581</c:v>
                </c:pt>
                <c:pt idx="3">
                  <c:v>90581</c:v>
                </c:pt>
                <c:pt idx="4">
                  <c:v>90581</c:v>
                </c:pt>
                <c:pt idx="5">
                  <c:v>90581</c:v>
                </c:pt>
                <c:pt idx="6">
                  <c:v>90581</c:v>
                </c:pt>
                <c:pt idx="7">
                  <c:v>90581</c:v>
                </c:pt>
                <c:pt idx="8">
                  <c:v>90581</c:v>
                </c:pt>
                <c:pt idx="9">
                  <c:v>90581</c:v>
                </c:pt>
                <c:pt idx="10">
                  <c:v>90581</c:v>
                </c:pt>
                <c:pt idx="11">
                  <c:v>90581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'!$B$11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'!$C$11:$N$11</c:f>
              <c:numCache>
                <c:formatCode>#,##0</c:formatCode>
                <c:ptCount val="12"/>
                <c:pt idx="0">
                  <c:v>178061</c:v>
                </c:pt>
                <c:pt idx="1">
                  <c:v>404099</c:v>
                </c:pt>
                <c:pt idx="2">
                  <c:v>570489</c:v>
                </c:pt>
                <c:pt idx="3">
                  <c:v>570489</c:v>
                </c:pt>
                <c:pt idx="4">
                  <c:v>570489</c:v>
                </c:pt>
                <c:pt idx="5">
                  <c:v>570489</c:v>
                </c:pt>
                <c:pt idx="6">
                  <c:v>570489</c:v>
                </c:pt>
                <c:pt idx="7">
                  <c:v>570489</c:v>
                </c:pt>
                <c:pt idx="8">
                  <c:v>570489</c:v>
                </c:pt>
                <c:pt idx="9">
                  <c:v>570489</c:v>
                </c:pt>
                <c:pt idx="10">
                  <c:v>570489</c:v>
                </c:pt>
                <c:pt idx="11">
                  <c:v>570489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'!$B$12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'!$C$12:$N$12</c:f>
              <c:numCache>
                <c:formatCode>#,##0</c:formatCode>
                <c:ptCount val="12"/>
                <c:pt idx="0">
                  <c:v>193300</c:v>
                </c:pt>
                <c:pt idx="1">
                  <c:v>397306</c:v>
                </c:pt>
                <c:pt idx="2">
                  <c:v>587531</c:v>
                </c:pt>
                <c:pt idx="3">
                  <c:v>778731</c:v>
                </c:pt>
                <c:pt idx="4">
                  <c:v>934521</c:v>
                </c:pt>
                <c:pt idx="5">
                  <c:v>1071545</c:v>
                </c:pt>
                <c:pt idx="6">
                  <c:v>1230173</c:v>
                </c:pt>
                <c:pt idx="7">
                  <c:v>1373373</c:v>
                </c:pt>
                <c:pt idx="8">
                  <c:v>1534108</c:v>
                </c:pt>
                <c:pt idx="9">
                  <c:v>1747697</c:v>
                </c:pt>
                <c:pt idx="10">
                  <c:v>1906097</c:v>
                </c:pt>
                <c:pt idx="11">
                  <c:v>1960947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'!$B$13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'!$C$13:$N$13</c:f>
              <c:numCache>
                <c:formatCode>#,##0</c:formatCode>
                <c:ptCount val="12"/>
                <c:pt idx="0">
                  <c:v>193300</c:v>
                </c:pt>
                <c:pt idx="1">
                  <c:v>326006</c:v>
                </c:pt>
                <c:pt idx="2">
                  <c:v>510087</c:v>
                </c:pt>
                <c:pt idx="3">
                  <c:v>723787</c:v>
                </c:pt>
                <c:pt idx="4">
                  <c:v>863597</c:v>
                </c:pt>
                <c:pt idx="5">
                  <c:v>1016767</c:v>
                </c:pt>
                <c:pt idx="6">
                  <c:v>1218840</c:v>
                </c:pt>
                <c:pt idx="7">
                  <c:v>1346290</c:v>
                </c:pt>
                <c:pt idx="8">
                  <c:v>1492225</c:v>
                </c:pt>
                <c:pt idx="9">
                  <c:v>1699468</c:v>
                </c:pt>
                <c:pt idx="10">
                  <c:v>1861868</c:v>
                </c:pt>
                <c:pt idx="11">
                  <c:v>1924318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45728"/>
        <c:axId val="91147264"/>
      </c:lineChart>
      <c:catAx>
        <c:axId val="9114572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91147264"/>
        <c:crosses val="autoZero"/>
        <c:auto val="1"/>
        <c:lblAlgn val="ctr"/>
        <c:lblOffset val="100"/>
        <c:noMultiLvlLbl val="0"/>
      </c:catAx>
      <c:valAx>
        <c:axId val="91147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1145728"/>
        <c:crosses val="autoZero"/>
        <c:crossBetween val="between"/>
      </c:valAx>
      <c:dTable>
        <c:showHorzBorder val="1"/>
        <c:showVertBorder val="1"/>
        <c:showOutline val="1"/>
        <c:showKeys val="0"/>
      </c:dTable>
      <c:spPr>
        <a:ln w="952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 Cumulé</a:t>
            </a:r>
          </a:p>
        </c:rich>
      </c:tx>
      <c:layout>
        <c:manualLayout>
          <c:xMode val="edge"/>
          <c:yMode val="edge"/>
          <c:x val="0.40031544507441513"/>
          <c:y val="9.672071811541502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352919251264845"/>
          <c:y val="9.6707741689410154E-2"/>
          <c:w val="0.82647080748735158"/>
          <c:h val="0.58751741969330218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Bassin'!$C$13,'Vol. par Bassin'!$F$13,'Vol. par Bassin'!$I$13,'Vol. par Bassin'!$L$13,'Vol. par Bassin'!$O$13,'Vol. par Bassin'!$R$13,'Vol. par Bassin'!$U$13,'Vol. par Bassin'!$X$13,'Vol. par Bassin'!$AA$13,'Vol. par Bassin'!$AD$13,'Vol. par Bassin'!$AG$13,'Vol. par Bassin'!$AJ$13)</c:f>
              <c:numCache>
                <c:formatCode>#,##0</c:formatCode>
                <c:ptCount val="12"/>
                <c:pt idx="0">
                  <c:v>48638</c:v>
                </c:pt>
                <c:pt idx="1">
                  <c:v>115728</c:v>
                </c:pt>
                <c:pt idx="2">
                  <c:v>186334</c:v>
                </c:pt>
                <c:pt idx="3">
                  <c:v>186334</c:v>
                </c:pt>
                <c:pt idx="4">
                  <c:v>186334</c:v>
                </c:pt>
                <c:pt idx="5">
                  <c:v>186334</c:v>
                </c:pt>
                <c:pt idx="6">
                  <c:v>186334</c:v>
                </c:pt>
                <c:pt idx="7">
                  <c:v>186334</c:v>
                </c:pt>
                <c:pt idx="8">
                  <c:v>186334</c:v>
                </c:pt>
                <c:pt idx="9">
                  <c:v>186334</c:v>
                </c:pt>
                <c:pt idx="10">
                  <c:v>186334</c:v>
                </c:pt>
                <c:pt idx="11">
                  <c:v>186334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Bassin'!$C$14,'Vol. par Bassin'!$F$14,'Vol. par Bassin'!$I$14,'Vol. par Bassin'!$L$14,'Vol. par Bassin'!$O$14,'Vol. par Bassin'!$R$14,'Vol. par Bassin'!$U$14,'Vol. par Bassin'!$X$14,'Vol. par Bassin'!$AA$14,'Vol. par Bassin'!$AD$14,'Vol. par Bassin'!$AG$14,'Vol. par Bassin'!$AJ$14)</c:f>
              <c:numCache>
                <c:formatCode>#,##0</c:formatCode>
                <c:ptCount val="12"/>
                <c:pt idx="0">
                  <c:v>16170</c:v>
                </c:pt>
                <c:pt idx="1">
                  <c:v>37285</c:v>
                </c:pt>
                <c:pt idx="2">
                  <c:v>44076</c:v>
                </c:pt>
                <c:pt idx="3">
                  <c:v>44076</c:v>
                </c:pt>
                <c:pt idx="4">
                  <c:v>44076</c:v>
                </c:pt>
                <c:pt idx="5">
                  <c:v>44076</c:v>
                </c:pt>
                <c:pt idx="6">
                  <c:v>44076</c:v>
                </c:pt>
                <c:pt idx="7">
                  <c:v>44076</c:v>
                </c:pt>
                <c:pt idx="8">
                  <c:v>44076</c:v>
                </c:pt>
                <c:pt idx="9">
                  <c:v>44076</c:v>
                </c:pt>
                <c:pt idx="10">
                  <c:v>44076</c:v>
                </c:pt>
                <c:pt idx="11">
                  <c:v>44076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Bassin'!$C$15,'Vol. par Bassin'!$F$15,'Vol. par Bassin'!$I$15,'Vol. par Bassin'!$L$15,'Vol. par Bassin'!$O$15,'Vol. par Bassin'!$R$15,'Vol. par Bassin'!$U$15,'Vol. par Bassin'!$X$15,'Vol. par Bassin'!$AA$15,'Vol. par Bassin'!$AD$15,'Vol. par Bassin'!$AG$15,'Vol. par Bassin'!$AJ$15)</c:f>
              <c:numCache>
                <c:formatCode>#,##0</c:formatCode>
                <c:ptCount val="12"/>
                <c:pt idx="0">
                  <c:v>64808</c:v>
                </c:pt>
                <c:pt idx="1">
                  <c:v>153013</c:v>
                </c:pt>
                <c:pt idx="2">
                  <c:v>230410</c:v>
                </c:pt>
                <c:pt idx="3">
                  <c:v>230410</c:v>
                </c:pt>
                <c:pt idx="4">
                  <c:v>230410</c:v>
                </c:pt>
                <c:pt idx="5">
                  <c:v>230410</c:v>
                </c:pt>
                <c:pt idx="6">
                  <c:v>230410</c:v>
                </c:pt>
                <c:pt idx="7">
                  <c:v>230410</c:v>
                </c:pt>
                <c:pt idx="8">
                  <c:v>230410</c:v>
                </c:pt>
                <c:pt idx="9">
                  <c:v>230410</c:v>
                </c:pt>
                <c:pt idx="10">
                  <c:v>230410</c:v>
                </c:pt>
                <c:pt idx="11">
                  <c:v>230410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Bassin'!$C$16,'Vol. par Bassin'!$F$16,'Vol. par Bassin'!$I$16,'Vol. par Bassin'!$L$16,'Vol. par Bassin'!$O$16,'Vol. par Bassin'!$R$16,'Vol. par Bassin'!$U$16,'Vol. par Bassin'!$X$16,'Vol. par Bassin'!$AA$16,'Vol. par Bassin'!$AD$16,'Vol. par Bassin'!$AG$16,'Vol. par Bassin'!$AJ$16)</c:f>
              <c:numCache>
                <c:formatCode>#,##0</c:formatCode>
                <c:ptCount val="12"/>
                <c:pt idx="0">
                  <c:v>104750</c:v>
                </c:pt>
                <c:pt idx="1">
                  <c:v>211456</c:v>
                </c:pt>
                <c:pt idx="2">
                  <c:v>304806</c:v>
                </c:pt>
                <c:pt idx="3">
                  <c:v>421006</c:v>
                </c:pt>
                <c:pt idx="4">
                  <c:v>525626</c:v>
                </c:pt>
                <c:pt idx="5">
                  <c:v>599236</c:v>
                </c:pt>
                <c:pt idx="6">
                  <c:v>650685</c:v>
                </c:pt>
                <c:pt idx="7">
                  <c:v>699085</c:v>
                </c:pt>
                <c:pt idx="8">
                  <c:v>769520</c:v>
                </c:pt>
                <c:pt idx="9">
                  <c:v>861920</c:v>
                </c:pt>
                <c:pt idx="10">
                  <c:v>946520</c:v>
                </c:pt>
                <c:pt idx="11">
                  <c:v>978120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Bassin'!$C$17,'Vol. par Bassin'!$F$17,'Vol. par Bassin'!$I$17,'Vol. par Bassin'!$L$17,'Vol. par Bassin'!$O$17,'Vol. par Bassin'!$R$17,'Vol. par Bassin'!$U$17,'Vol. par Bassin'!$X$17,'Vol. par Bassin'!$AA$17,'Vol. par Bassin'!$AD$17,'Vol. par Bassin'!$AG$17,'Vol. par Bassin'!$AJ$17)</c:f>
              <c:numCache>
                <c:formatCode>#,##0</c:formatCode>
                <c:ptCount val="12"/>
                <c:pt idx="0">
                  <c:v>104750</c:v>
                </c:pt>
                <c:pt idx="1">
                  <c:v>206856</c:v>
                </c:pt>
                <c:pt idx="2">
                  <c:v>305362</c:v>
                </c:pt>
                <c:pt idx="3">
                  <c:v>439062</c:v>
                </c:pt>
                <c:pt idx="4">
                  <c:v>530502</c:v>
                </c:pt>
                <c:pt idx="5">
                  <c:v>601512</c:v>
                </c:pt>
                <c:pt idx="6">
                  <c:v>667756</c:v>
                </c:pt>
                <c:pt idx="7">
                  <c:v>713256</c:v>
                </c:pt>
                <c:pt idx="8">
                  <c:v>773191</c:v>
                </c:pt>
                <c:pt idx="9">
                  <c:v>861245</c:v>
                </c:pt>
                <c:pt idx="10">
                  <c:v>946245</c:v>
                </c:pt>
                <c:pt idx="11">
                  <c:v>982445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26112"/>
        <c:axId val="91227648"/>
      </c:lineChart>
      <c:catAx>
        <c:axId val="9122611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91227648"/>
        <c:crosses val="autoZero"/>
        <c:auto val="1"/>
        <c:lblAlgn val="ctr"/>
        <c:lblOffset val="100"/>
        <c:noMultiLvlLbl val="0"/>
      </c:catAx>
      <c:valAx>
        <c:axId val="91227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122611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060770274675352"/>
          <c:y val="4.358973478907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63301329104122"/>
          <c:y val="0.15570253266655912"/>
          <c:w val="0.7987728501180219"/>
          <c:h val="0.65816861333159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'BDD-TDB'!$A$9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'BDD-TDB'!$B$7:$E$8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antérieurs cumulés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'BDD-TDB'!$B$9:$E$9</c:f>
              <c:numCache>
                <c:formatCode>#,##0</c:formatCode>
                <c:ptCount val="4"/>
                <c:pt idx="0">
                  <c:v>116.47763503307306</c:v>
                </c:pt>
                <c:pt idx="1">
                  <c:v>294.47736671231172</c:v>
                </c:pt>
                <c:pt idx="2">
                  <c:v>17.265971161746464</c:v>
                </c:pt>
                <c:pt idx="3">
                  <c:v>477.89579987951799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37760"/>
        <c:axId val="91255936"/>
      </c:barChart>
      <c:catAx>
        <c:axId val="91237760"/>
        <c:scaling>
          <c:orientation val="minMax"/>
        </c:scaling>
        <c:delete val="0"/>
        <c:axPos val="b"/>
        <c:majorTickMark val="out"/>
        <c:minorTickMark val="none"/>
        <c:tickLblPos val="nextTo"/>
        <c:crossAx val="91255936"/>
        <c:crosses val="autoZero"/>
        <c:auto val="1"/>
        <c:lblAlgn val="ctr"/>
        <c:lblOffset val="100"/>
        <c:noMultiLvlLbl val="0"/>
      </c:catAx>
      <c:valAx>
        <c:axId val="912559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12377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845458435456013"/>
          <c:y val="0.14383796296296297"/>
          <c:w val="0.78921209703651252"/>
          <c:h val="0.66249933862433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'BDD-TDB'!$A$10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'BDD-TDB'!$B$7:$E$8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antérieurs cumulés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'BDD-TDB'!$B$10:$E$10</c:f>
              <c:numCache>
                <c:formatCode>#,##0</c:formatCode>
                <c:ptCount val="4"/>
                <c:pt idx="0">
                  <c:v>884350.59099084605</c:v>
                </c:pt>
                <c:pt idx="1">
                  <c:v>1385578.0524004267</c:v>
                </c:pt>
                <c:pt idx="2">
                  <c:v>884350.59099084605</c:v>
                </c:pt>
                <c:pt idx="3">
                  <c:v>1385578.0524004267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88704"/>
        <c:axId val="91290240"/>
      </c:barChart>
      <c:catAx>
        <c:axId val="91288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fr-FR"/>
          </a:p>
        </c:txPr>
        <c:crossAx val="91290240"/>
        <c:crosses val="autoZero"/>
        <c:auto val="1"/>
        <c:lblAlgn val="ctr"/>
        <c:lblOffset val="100"/>
        <c:noMultiLvlLbl val="0"/>
      </c:catAx>
      <c:valAx>
        <c:axId val="912902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1288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456329690346083"/>
          <c:y val="0.18119583333333333"/>
          <c:w val="0.80182103825136608"/>
          <c:h val="0.63050833333333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'BDD-TDB'!$A$15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rgbClr val="FCD268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'BDD-TDB'!$B$13:$E$14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'BDD-TDB'!$B$15:$E$15</c:f>
              <c:numCache>
                <c:formatCode>#,##0</c:formatCode>
                <c:ptCount val="4"/>
                <c:pt idx="0">
                  <c:v>22.84726560770639</c:v>
                </c:pt>
                <c:pt idx="1">
                  <c:v>44.830852865163536</c:v>
                </c:pt>
                <c:pt idx="2">
                  <c:v>17.265971161746464</c:v>
                </c:pt>
                <c:pt idx="3">
                  <c:v>36.191423412578999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04480"/>
        <c:axId val="93618560"/>
      </c:barChart>
      <c:catAx>
        <c:axId val="93604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618560"/>
        <c:crosses val="autoZero"/>
        <c:auto val="1"/>
        <c:lblAlgn val="ctr"/>
        <c:lblOffset val="100"/>
        <c:noMultiLvlLbl val="0"/>
      </c:catAx>
      <c:valAx>
        <c:axId val="93618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36044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150865209471767"/>
          <c:y val="0.1681720867208672"/>
          <c:w val="0.78487568306010924"/>
          <c:h val="0.6481246612466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'BDD-TDB'!$A$16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rgbClr val="FCD268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'BDD-TDB'!$B$13:$E$14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'BDD-TDB'!$B$16:$E$16</c:f>
              <c:numCache>
                <c:formatCode>#,##0</c:formatCode>
                <c:ptCount val="4"/>
                <c:pt idx="0">
                  <c:v>2566.9676566724333</c:v>
                </c:pt>
                <c:pt idx="1">
                  <c:v>0</c:v>
                </c:pt>
                <c:pt idx="2">
                  <c:v>2847.4248261232374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39040"/>
        <c:axId val="93640576"/>
      </c:barChart>
      <c:catAx>
        <c:axId val="93639040"/>
        <c:scaling>
          <c:orientation val="minMax"/>
        </c:scaling>
        <c:delete val="0"/>
        <c:axPos val="b"/>
        <c:majorTickMark val="out"/>
        <c:minorTickMark val="none"/>
        <c:tickLblPos val="nextTo"/>
        <c:crossAx val="93640576"/>
        <c:crosses val="autoZero"/>
        <c:auto val="1"/>
        <c:lblAlgn val="ctr"/>
        <c:lblOffset val="100"/>
        <c:noMultiLvlLbl val="0"/>
      </c:catAx>
      <c:valAx>
        <c:axId val="936405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36390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2098272143071756"/>
          <c:y val="0.18293575563133807"/>
          <c:w val="0.81636957213903572"/>
          <c:h val="0.62696031140626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'BDD-TDB'!$A$21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'BDD-TDB'!$B$19:$E$20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'BDD-TDB'!$B$21:$E$21</c:f>
              <c:numCache>
                <c:formatCode>#,##0</c:formatCode>
                <c:ptCount val="4"/>
                <c:pt idx="0">
                  <c:v>0</c:v>
                </c:pt>
                <c:pt idx="1">
                  <c:v>18.11211203013676</c:v>
                </c:pt>
                <c:pt idx="2">
                  <c:v>0</c:v>
                </c:pt>
                <c:pt idx="3">
                  <c:v>16.09010540632438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61056"/>
        <c:axId val="93662592"/>
      </c:barChart>
      <c:catAx>
        <c:axId val="936610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662592"/>
        <c:crosses val="autoZero"/>
        <c:auto val="1"/>
        <c:lblAlgn val="ctr"/>
        <c:lblOffset val="100"/>
        <c:noMultiLvlLbl val="0"/>
      </c:catAx>
      <c:valAx>
        <c:axId val="93662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3661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76019051536343"/>
          <c:y val="5.2105663721534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51581888220706"/>
          <c:y val="0.18538075880758809"/>
          <c:w val="0.80483647468754627"/>
          <c:h val="0.63091598915989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'BDD-TDB'!$A$22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'BDD-TDB'!$B$19:$E$20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'BDD-TDB'!$B$22:$E$22</c:f>
              <c:numCache>
                <c:formatCode>#,##0</c:formatCode>
                <c:ptCount val="4"/>
                <c:pt idx="0">
                  <c:v>0</c:v>
                </c:pt>
                <c:pt idx="1">
                  <c:v>1069623</c:v>
                </c:pt>
                <c:pt idx="2">
                  <c:v>0</c:v>
                </c:pt>
                <c:pt idx="3">
                  <c:v>1276863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87168"/>
        <c:axId val="93713536"/>
      </c:barChart>
      <c:catAx>
        <c:axId val="93687168"/>
        <c:scaling>
          <c:orientation val="minMax"/>
        </c:scaling>
        <c:delete val="0"/>
        <c:axPos val="b"/>
        <c:majorTickMark val="out"/>
        <c:minorTickMark val="none"/>
        <c:tickLblPos val="nextTo"/>
        <c:crossAx val="93713536"/>
        <c:crosses val="autoZero"/>
        <c:auto val="1"/>
        <c:lblAlgn val="ctr"/>
        <c:lblOffset val="100"/>
        <c:noMultiLvlLbl val="0"/>
      </c:catAx>
      <c:valAx>
        <c:axId val="93713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36871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239292114695342"/>
          <c:y val="0.19068701464417107"/>
          <c:w val="0.80501747311827954"/>
          <c:h val="0.61115406708635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'BDD-TDB'!$A$27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'BDD-TDB'!$B$25:$E$26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'BDD-TDB'!$B$27:$E$27</c:f>
              <c:numCache>
                <c:formatCode>#,##0</c:formatCode>
                <c:ptCount val="4"/>
                <c:pt idx="0">
                  <c:v>159098.48878321657</c:v>
                </c:pt>
                <c:pt idx="1">
                  <c:v>459703.64780000004</c:v>
                </c:pt>
                <c:pt idx="2">
                  <c:v>154165.86954718723</c:v>
                </c:pt>
                <c:pt idx="3">
                  <c:v>401953.34600000008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82432"/>
        <c:axId val="96483968"/>
      </c:barChart>
      <c:catAx>
        <c:axId val="96482432"/>
        <c:scaling>
          <c:orientation val="minMax"/>
        </c:scaling>
        <c:delete val="0"/>
        <c:axPos val="b"/>
        <c:majorTickMark val="out"/>
        <c:minorTickMark val="none"/>
        <c:tickLblPos val="nextTo"/>
        <c:crossAx val="96483968"/>
        <c:crosses val="autoZero"/>
        <c:auto val="1"/>
        <c:lblAlgn val="ctr"/>
        <c:lblOffset val="100"/>
        <c:noMultiLvlLbl val="0"/>
      </c:catAx>
      <c:valAx>
        <c:axId val="964839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64824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881056466302374"/>
          <c:y val="3.24076388888888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50865209471767"/>
          <c:y val="0.1939850948509485"/>
          <c:w val="0.78487568306010924"/>
          <c:h val="0.62231165311653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'BDD-TDB'!$A$28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'BDD-TDB'!$B$25:$E$26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'BDD-TDB'!$B$28:$E$28</c:f>
              <c:numCache>
                <c:formatCode>#,##0</c:formatCode>
                <c:ptCount val="4"/>
                <c:pt idx="0">
                  <c:v>0</c:v>
                </c:pt>
                <c:pt idx="1">
                  <c:v>6.9821260583254938</c:v>
                </c:pt>
                <c:pt idx="2">
                  <c:v>0</c:v>
                </c:pt>
                <c:pt idx="3">
                  <c:v>5.7787439613526574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08544"/>
        <c:axId val="96534912"/>
      </c:barChart>
      <c:catAx>
        <c:axId val="96508544"/>
        <c:scaling>
          <c:orientation val="minMax"/>
        </c:scaling>
        <c:delete val="0"/>
        <c:axPos val="b"/>
        <c:majorTickMark val="out"/>
        <c:minorTickMark val="none"/>
        <c:tickLblPos val="nextTo"/>
        <c:crossAx val="96534912"/>
        <c:crosses val="autoZero"/>
        <c:auto val="1"/>
        <c:lblAlgn val="ctr"/>
        <c:lblOffset val="100"/>
        <c:noMultiLvlLbl val="0"/>
      </c:catAx>
      <c:valAx>
        <c:axId val="96534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65085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 Mensuel</a:t>
            </a:r>
          </a:p>
        </c:rich>
      </c:tx>
      <c:layout>
        <c:manualLayout>
          <c:xMode val="edge"/>
          <c:yMode val="edge"/>
          <c:x val="0.41002705582034549"/>
          <c:y val="5.783093911238193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44489981785063"/>
          <c:y val="9.2020442090547924E-2"/>
          <c:w val="0.85867008196721306"/>
          <c:h val="0.60462165781407851"/>
        </c:manualLayout>
      </c:layout>
      <c:lineChart>
        <c:grouping val="standard"/>
        <c:varyColors val="0"/>
        <c:ser>
          <c:idx val="0"/>
          <c:order val="0"/>
          <c:tx>
            <c:strRef>
              <c:f>'Vol. Ballast Tot. '!$B$4</c:f>
              <c:strCache>
                <c:ptCount val="1"/>
                <c:pt idx="0">
                  <c:v>Total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'!$C$4:$N$4</c:f>
              <c:numCache>
                <c:formatCode>#,##0</c:formatCode>
                <c:ptCount val="12"/>
                <c:pt idx="0">
                  <c:v>149781</c:v>
                </c:pt>
                <c:pt idx="1">
                  <c:v>179339</c:v>
                </c:pt>
                <c:pt idx="2">
                  <c:v>150788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'!$B$5</c:f>
              <c:strCache>
                <c:ptCount val="1"/>
                <c:pt idx="0">
                  <c:v>Total Route 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'!$C$5:$N$5</c:f>
              <c:numCache>
                <c:formatCode>#,##0</c:formatCode>
                <c:ptCount val="12"/>
                <c:pt idx="0">
                  <c:v>28280</c:v>
                </c:pt>
                <c:pt idx="1">
                  <c:v>46699</c:v>
                </c:pt>
                <c:pt idx="2">
                  <c:v>15602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'!$B$6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'!$C$6:$N$6</c:f>
              <c:numCache>
                <c:formatCode>#,##0</c:formatCode>
                <c:ptCount val="12"/>
                <c:pt idx="0">
                  <c:v>178061</c:v>
                </c:pt>
                <c:pt idx="1">
                  <c:v>226038</c:v>
                </c:pt>
                <c:pt idx="2">
                  <c:v>166390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'!$B$7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'!$C$7:$N$7</c:f>
              <c:numCache>
                <c:formatCode>#,##0</c:formatCode>
                <c:ptCount val="12"/>
                <c:pt idx="0">
                  <c:v>193300</c:v>
                </c:pt>
                <c:pt idx="1">
                  <c:v>204006</c:v>
                </c:pt>
                <c:pt idx="2">
                  <c:v>190225</c:v>
                </c:pt>
                <c:pt idx="3">
                  <c:v>191200</c:v>
                </c:pt>
                <c:pt idx="4">
                  <c:v>155790</c:v>
                </c:pt>
                <c:pt idx="5">
                  <c:v>137024</c:v>
                </c:pt>
                <c:pt idx="6">
                  <c:v>158628</c:v>
                </c:pt>
                <c:pt idx="7">
                  <c:v>143200</c:v>
                </c:pt>
                <c:pt idx="8">
                  <c:v>160735</c:v>
                </c:pt>
                <c:pt idx="9">
                  <c:v>213589</c:v>
                </c:pt>
                <c:pt idx="10">
                  <c:v>158400</c:v>
                </c:pt>
                <c:pt idx="11">
                  <c:v>54850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'!$B$8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'!$C$8:$N$8</c:f>
              <c:numCache>
                <c:formatCode>#,##0</c:formatCode>
                <c:ptCount val="12"/>
                <c:pt idx="0">
                  <c:v>193300</c:v>
                </c:pt>
                <c:pt idx="1">
                  <c:v>132706</c:v>
                </c:pt>
                <c:pt idx="2">
                  <c:v>184081</c:v>
                </c:pt>
                <c:pt idx="3">
                  <c:v>213700</c:v>
                </c:pt>
                <c:pt idx="4">
                  <c:v>139810</c:v>
                </c:pt>
                <c:pt idx="5">
                  <c:v>153170</c:v>
                </c:pt>
                <c:pt idx="6">
                  <c:v>202073</c:v>
                </c:pt>
                <c:pt idx="7">
                  <c:v>127450</c:v>
                </c:pt>
                <c:pt idx="8">
                  <c:v>145935</c:v>
                </c:pt>
                <c:pt idx="9">
                  <c:v>207243</c:v>
                </c:pt>
                <c:pt idx="10">
                  <c:v>162400</c:v>
                </c:pt>
                <c:pt idx="11">
                  <c:v>62450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70368"/>
        <c:axId val="96580352"/>
      </c:lineChart>
      <c:catAx>
        <c:axId val="9657036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96580352"/>
        <c:crosses val="autoZero"/>
        <c:auto val="1"/>
        <c:lblAlgn val="ctr"/>
        <c:lblOffset val="100"/>
        <c:noMultiLvlLbl val="0"/>
      </c:catAx>
      <c:valAx>
        <c:axId val="96580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657036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25" r="0.25" t="0.75" header="0.3" footer="0.3"/>
    <c:pageSetup paperSize="8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Mensuel</a:t>
            </a:r>
          </a:p>
        </c:rich>
      </c:tx>
      <c:layout>
        <c:manualLayout>
          <c:xMode val="edge"/>
          <c:yMode val="edge"/>
          <c:x val="0.32331673131798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44489981785063"/>
          <c:y val="0.11158059832315172"/>
          <c:w val="0.86455510018214932"/>
          <c:h val="0.57568852734400333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Bassin'!$C$6,'Vol. par Bassin'!$F$6,'Vol. par Bassin'!$I$6,'Vol. par Bassin'!$L$6,'Vol. par Bassin'!$O$6,'Vol. par Bassin'!$R$6,'Vol. par Bassin'!$U$6,'Vol. par Bassin'!$X$6,'Vol. par Bassin'!$AA$6,'Vol. par Bassin'!$AD$6,'Vol. par Bassin'!$AG$6,'Vol. par Bassin'!$AJ$6)</c:f>
              <c:numCache>
                <c:formatCode>#,##0</c:formatCode>
                <c:ptCount val="12"/>
                <c:pt idx="0">
                  <c:v>48638</c:v>
                </c:pt>
                <c:pt idx="1">
                  <c:v>67090</c:v>
                </c:pt>
                <c:pt idx="2">
                  <c:v>70606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Bassin'!$C$7,'Vol. par Bassin'!$F$7,'Vol. par Bassin'!$I$7,'Vol. par Bassin'!$L$7,'Vol. par Bassin'!$O$7,'Vol. par Bassin'!$R$7,'Vol. par Bassin'!$U$7,'Vol. par Bassin'!$X$7,'Vol. par Bassin'!$AA$7,'Vol. par Bassin'!$AD$7,'Vol. par Bassin'!$AG$7,'Vol. par Bassin'!$AJ$7)</c:f>
              <c:numCache>
                <c:formatCode>#,##0</c:formatCode>
                <c:ptCount val="12"/>
                <c:pt idx="0">
                  <c:v>16170</c:v>
                </c:pt>
                <c:pt idx="1">
                  <c:v>21115</c:v>
                </c:pt>
                <c:pt idx="2">
                  <c:v>6791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Bassin'!$C$8,'Vol. par Bassin'!$F$8,'Vol. par Bassin'!$I$8,'Vol. par Bassin'!$L$8,'Vol. par Bassin'!$O$8,'Vol. par Bassin'!$R$8,'Vol. par Bassin'!$U$8,'Vol. par Bassin'!$X$8,'Vol. par Bassin'!$AA$8,'Vol. par Bassin'!$AD$8,'Vol. par Bassin'!$AG$8,'Vol. par Bassin'!$AJ$8)</c:f>
              <c:numCache>
                <c:formatCode>#,##0</c:formatCode>
                <c:ptCount val="12"/>
                <c:pt idx="0">
                  <c:v>64808</c:v>
                </c:pt>
                <c:pt idx="1">
                  <c:v>88205</c:v>
                </c:pt>
                <c:pt idx="2">
                  <c:v>77397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Bassin'!$C$9,'Vol. par Bassin'!$F$9,'Vol. par Bassin'!$I$9,'Vol. par Bassin'!$L$9,'Vol. par Bassin'!$O$9,'Vol. par Bassin'!$R$9,'Vol. par Bassin'!$U$9,'Vol. par Bassin'!$X$9,'Vol. par Bassin'!$AA$9,'Vol. par Bassin'!$AD$9,'Vol. par Bassin'!$AG$9,'Vol. par Bassin'!$AJ$9)</c:f>
              <c:numCache>
                <c:formatCode>#,##0</c:formatCode>
                <c:ptCount val="12"/>
                <c:pt idx="0">
                  <c:v>104750</c:v>
                </c:pt>
                <c:pt idx="1">
                  <c:v>106706</c:v>
                </c:pt>
                <c:pt idx="2">
                  <c:v>93350</c:v>
                </c:pt>
                <c:pt idx="3">
                  <c:v>116200</c:v>
                </c:pt>
                <c:pt idx="4">
                  <c:v>104620</c:v>
                </c:pt>
                <c:pt idx="5">
                  <c:v>73610</c:v>
                </c:pt>
                <c:pt idx="6">
                  <c:v>51449</c:v>
                </c:pt>
                <c:pt idx="7">
                  <c:v>48400</c:v>
                </c:pt>
                <c:pt idx="8">
                  <c:v>70435</c:v>
                </c:pt>
                <c:pt idx="9">
                  <c:v>92400</c:v>
                </c:pt>
                <c:pt idx="10">
                  <c:v>84600</c:v>
                </c:pt>
                <c:pt idx="11">
                  <c:v>31600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Bassin'!$C$10,'Vol. par Bassin'!$F$10,'Vol. par Bassin'!$I$10,'Vol. par Bassin'!$L$10,'Vol. par Bassin'!$O$10,'Vol. par Bassin'!$R$10,'Vol. par Bassin'!$U$10,'Vol. par Bassin'!$X$10,'Vol. par Bassin'!$AA$10,'Vol. par Bassin'!$AD$10,'Vol. par Bassin'!$AG$10,'Vol. par Bassin'!$AJ$10)</c:f>
              <c:numCache>
                <c:formatCode>#,##0</c:formatCode>
                <c:ptCount val="12"/>
                <c:pt idx="0">
                  <c:v>104750</c:v>
                </c:pt>
                <c:pt idx="1">
                  <c:v>102106</c:v>
                </c:pt>
                <c:pt idx="2">
                  <c:v>98506</c:v>
                </c:pt>
                <c:pt idx="3">
                  <c:v>133700</c:v>
                </c:pt>
                <c:pt idx="4">
                  <c:v>91440</c:v>
                </c:pt>
                <c:pt idx="5">
                  <c:v>71010</c:v>
                </c:pt>
                <c:pt idx="6">
                  <c:v>66244</c:v>
                </c:pt>
                <c:pt idx="7">
                  <c:v>45500</c:v>
                </c:pt>
                <c:pt idx="8">
                  <c:v>59935</c:v>
                </c:pt>
                <c:pt idx="9">
                  <c:v>88054</c:v>
                </c:pt>
                <c:pt idx="10">
                  <c:v>85000</c:v>
                </c:pt>
                <c:pt idx="11">
                  <c:v>36200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54240"/>
        <c:axId val="96955776"/>
      </c:lineChart>
      <c:catAx>
        <c:axId val="9695424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96955776"/>
        <c:crosses val="autoZero"/>
        <c:auto val="1"/>
        <c:lblAlgn val="ctr"/>
        <c:lblOffset val="100"/>
        <c:noMultiLvlLbl val="0"/>
      </c:catAx>
      <c:valAx>
        <c:axId val="96955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6954240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fr-FR" sz="800">
                <a:solidFill>
                  <a:schemeClr val="accent1"/>
                </a:solidFill>
              </a:rPr>
              <a:t>TOTAL BALLAST</a:t>
            </a:r>
          </a:p>
        </c:rich>
      </c:tx>
      <c:layout>
        <c:manualLayout>
          <c:xMode val="edge"/>
          <c:yMode val="edge"/>
          <c:x val="0.335138528175301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836447520870735"/>
          <c:y val="0.25580837158807596"/>
          <c:w val="0.34751056540991487"/>
          <c:h val="0.64382545931758528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</c:dLbls>
          <c:cat>
            <c:strRef>
              <c:f>'Vol. Ballast Tot. '!$B$4:$B$5</c:f>
              <c:strCache>
                <c:ptCount val="2"/>
                <c:pt idx="0">
                  <c:v>Total Fer</c:v>
                </c:pt>
                <c:pt idx="1">
                  <c:v>Total Route </c:v>
                </c:pt>
              </c:strCache>
            </c:strRef>
          </c:cat>
          <c:val>
            <c:numRef>
              <c:f>'Vol. Ballast Tot. '!$O$4:$O$5</c:f>
              <c:numCache>
                <c:formatCode>#,##0</c:formatCode>
                <c:ptCount val="2"/>
                <c:pt idx="0">
                  <c:v>479908</c:v>
                </c:pt>
                <c:pt idx="1">
                  <c:v>90581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2717270540921208"/>
          <c:y val="0.34287901736341697"/>
          <c:w val="0.27282729459078786"/>
          <c:h val="0.27572955830465889"/>
        </c:manualLayout>
      </c:layout>
      <c:overlay val="0"/>
      <c:txPr>
        <a:bodyPr/>
        <a:lstStyle/>
        <a:p>
          <a:pPr rtl="0">
            <a:defRPr sz="700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Mensuel</a:t>
            </a:r>
          </a:p>
        </c:rich>
      </c:tx>
      <c:layout>
        <c:manualLayout>
          <c:xMode val="edge"/>
          <c:yMode val="edge"/>
          <c:x val="0.292262619781291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90790028180572"/>
          <c:y val="8.7216203703703699E-2"/>
          <c:w val="0.87509209971819424"/>
          <c:h val="0.56861620370370369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Bassin'!$D$6,'Vol. par Bassin'!$G$6,'Vol. par Bassin'!$J$6,'Vol. par Bassin'!$M$6,'Vol. par Bassin'!$P$6,'Vol. par Bassin'!$S$6,'Vol. par Bassin'!$V$6,'Vol. par Bassin'!$Y$6,'Vol. par Bassin'!$AB$6,'Vol. par Bassin'!$AE$6,'Vol. par Bassin'!$AH$6,'Vol. par Bassin'!$AK$6)</c:f>
              <c:numCache>
                <c:formatCode>#,##0</c:formatCode>
                <c:ptCount val="12"/>
                <c:pt idx="0">
                  <c:v>40637</c:v>
                </c:pt>
                <c:pt idx="1">
                  <c:v>55088</c:v>
                </c:pt>
                <c:pt idx="2">
                  <c:v>32391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Bassin'!$D$7,'Vol. par Bassin'!$G$7,'Vol. par Bassin'!$J$7,'Vol. par Bassin'!$M$7,'Vol. par Bassin'!$P$7,'Vol. par Bassin'!$S$7,'Vol. par Bassin'!$V$7,'Vol. par Bassin'!$Y$7,'Vol. par Bassin'!$AB$7,'Vol. par Bassin'!$AE$7,'Vol. par Bassin'!$AH$7,'Vol. par Bassin'!$AK$7)</c:f>
              <c:numCache>
                <c:formatCode>#,##0</c:formatCode>
                <c:ptCount val="12"/>
                <c:pt idx="0">
                  <c:v>722</c:v>
                </c:pt>
                <c:pt idx="1">
                  <c:v>16599</c:v>
                </c:pt>
                <c:pt idx="2">
                  <c:v>5476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Bassin'!$D$8,'Vol. par Bassin'!$G$8,'Vol. par Bassin'!$J$8,'Vol. par Bassin'!$M$8,'Vol. par Bassin'!$P$8,'Vol. par Bassin'!$S$8,'Vol. par Bassin'!$V$8,'Vol. par Bassin'!$Y$8,'Vol. par Bassin'!$AB$8,'Vol. par Bassin'!$AE$8,'Vol. par Bassin'!$AH$8,'Vol. par Bassin'!$AK$8)</c:f>
              <c:numCache>
                <c:formatCode>#,##0</c:formatCode>
                <c:ptCount val="12"/>
                <c:pt idx="0">
                  <c:v>41359</c:v>
                </c:pt>
                <c:pt idx="1">
                  <c:v>71687</c:v>
                </c:pt>
                <c:pt idx="2">
                  <c:v>37867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Bassin'!$D$9,'Vol. par Bassin'!$G$9,'Vol. par Bassin'!$J$9,'Vol. par Bassin'!$M$9,'Vol. par Bassin'!$P$9,'Vol. par Bassin'!$S$9,'Vol. par Bassin'!$V$9,'Vol. par Bassin'!$Y$9,'Vol. par Bassin'!$AB$9,'Vol. par Bassin'!$AE$9,'Vol. par Bassin'!$AH$9,'Vol. par Bassin'!$AK$9)</c:f>
              <c:numCache>
                <c:formatCode>#,##0</c:formatCode>
                <c:ptCount val="12"/>
                <c:pt idx="0">
                  <c:v>32200</c:v>
                </c:pt>
                <c:pt idx="1">
                  <c:v>41400</c:v>
                </c:pt>
                <c:pt idx="2">
                  <c:v>39950</c:v>
                </c:pt>
                <c:pt idx="3">
                  <c:v>20500</c:v>
                </c:pt>
                <c:pt idx="4">
                  <c:v>15400</c:v>
                </c:pt>
                <c:pt idx="5">
                  <c:v>19000</c:v>
                </c:pt>
                <c:pt idx="6">
                  <c:v>52431</c:v>
                </c:pt>
                <c:pt idx="7">
                  <c:v>64200</c:v>
                </c:pt>
                <c:pt idx="8">
                  <c:v>54600</c:v>
                </c:pt>
                <c:pt idx="9">
                  <c:v>59350</c:v>
                </c:pt>
                <c:pt idx="10">
                  <c:v>37000</c:v>
                </c:pt>
                <c:pt idx="11">
                  <c:v>4350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Bassin'!$D$10,'Vol. par Bassin'!$G$10,'Vol. par Bassin'!$J$10,'Vol. par Bassin'!$M$10,'Vol. par Bassin'!$P$10,'Vol. par Bassin'!$S$10,'Vol. par Bassin'!$V$10,'Vol. par Bassin'!$Y$10,'Vol. par Bassin'!$AB$10,'Vol. par Bassin'!$AE$10,'Vol. par Bassin'!$AH$10,'Vol. par Bassin'!$AK$10)</c:f>
              <c:numCache>
                <c:formatCode>#,##0</c:formatCode>
                <c:ptCount val="12"/>
                <c:pt idx="0">
                  <c:v>32200</c:v>
                </c:pt>
                <c:pt idx="1">
                  <c:v>19700</c:v>
                </c:pt>
                <c:pt idx="2">
                  <c:v>27950</c:v>
                </c:pt>
                <c:pt idx="3">
                  <c:v>32000</c:v>
                </c:pt>
                <c:pt idx="4">
                  <c:v>12000</c:v>
                </c:pt>
                <c:pt idx="5">
                  <c:v>30500</c:v>
                </c:pt>
                <c:pt idx="6">
                  <c:v>82631</c:v>
                </c:pt>
                <c:pt idx="7">
                  <c:v>53850</c:v>
                </c:pt>
                <c:pt idx="8">
                  <c:v>44600</c:v>
                </c:pt>
                <c:pt idx="9">
                  <c:v>55450</c:v>
                </c:pt>
                <c:pt idx="10">
                  <c:v>36600</c:v>
                </c:pt>
                <c:pt idx="11">
                  <c:v>4350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03840"/>
        <c:axId val="96817920"/>
      </c:lineChart>
      <c:catAx>
        <c:axId val="9680384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96817920"/>
        <c:crosses val="autoZero"/>
        <c:auto val="1"/>
        <c:lblAlgn val="ctr"/>
        <c:lblOffset val="100"/>
        <c:noMultiLvlLbl val="0"/>
      </c:catAx>
      <c:valAx>
        <c:axId val="96817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6803840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Cumulé</a:t>
            </a:r>
          </a:p>
        </c:rich>
      </c:tx>
      <c:layout>
        <c:manualLayout>
          <c:xMode val="edge"/>
          <c:yMode val="edge"/>
          <c:x val="0.33710492546133819"/>
          <c:y val="3.1027777777777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927710027100271"/>
          <c:y val="0.10445185185185185"/>
          <c:w val="0.83072289972899727"/>
          <c:h val="0.55094490740740742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Bassin'!$D$13,'Vol. par Bassin'!$G$13,'Vol. par Bassin'!$J$13,'Vol. par Bassin'!$M$13,'Vol. par Bassin'!$P$13,'Vol. par Bassin'!$S$13,'Vol. par Bassin'!$V$13,'Vol. par Bassin'!$Y$13,'Vol. par Bassin'!$AB$13,'Vol. par Bassin'!$AE$13,'Vol. par Bassin'!$AH$13,'Vol. par Bassin'!$AK$13)</c:f>
              <c:numCache>
                <c:formatCode>#,##0</c:formatCode>
                <c:ptCount val="12"/>
                <c:pt idx="0">
                  <c:v>40637</c:v>
                </c:pt>
                <c:pt idx="1">
                  <c:v>95725</c:v>
                </c:pt>
                <c:pt idx="2">
                  <c:v>128116</c:v>
                </c:pt>
                <c:pt idx="3">
                  <c:v>128116</c:v>
                </c:pt>
                <c:pt idx="4">
                  <c:v>128116</c:v>
                </c:pt>
                <c:pt idx="5">
                  <c:v>128116</c:v>
                </c:pt>
                <c:pt idx="6">
                  <c:v>128116</c:v>
                </c:pt>
                <c:pt idx="7">
                  <c:v>128116</c:v>
                </c:pt>
                <c:pt idx="8">
                  <c:v>128116</c:v>
                </c:pt>
                <c:pt idx="9">
                  <c:v>128116</c:v>
                </c:pt>
                <c:pt idx="10">
                  <c:v>128116</c:v>
                </c:pt>
                <c:pt idx="11">
                  <c:v>128116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Bassin'!$D$14,'Vol. par Bassin'!$G$14,'Vol. par Bassin'!$J$14,'Vol. par Bassin'!$M$14,'Vol. par Bassin'!$P$14,'Vol. par Bassin'!$S$14,'Vol. par Bassin'!$V$14,'Vol. par Bassin'!$Y$14,'Vol. par Bassin'!$AB$14,'Vol. par Bassin'!$AE$14,'Vol. par Bassin'!$AH$14,'Vol. par Bassin'!$AK$14)</c:f>
              <c:numCache>
                <c:formatCode>#,##0</c:formatCode>
                <c:ptCount val="12"/>
                <c:pt idx="0">
                  <c:v>722</c:v>
                </c:pt>
                <c:pt idx="1">
                  <c:v>17321</c:v>
                </c:pt>
                <c:pt idx="2">
                  <c:v>22797</c:v>
                </c:pt>
                <c:pt idx="3">
                  <c:v>22797</c:v>
                </c:pt>
                <c:pt idx="4">
                  <c:v>22797</c:v>
                </c:pt>
                <c:pt idx="5">
                  <c:v>22797</c:v>
                </c:pt>
                <c:pt idx="6">
                  <c:v>22797</c:v>
                </c:pt>
                <c:pt idx="7">
                  <c:v>22797</c:v>
                </c:pt>
                <c:pt idx="8">
                  <c:v>22797</c:v>
                </c:pt>
                <c:pt idx="9">
                  <c:v>22797</c:v>
                </c:pt>
                <c:pt idx="10">
                  <c:v>22797</c:v>
                </c:pt>
                <c:pt idx="11">
                  <c:v>22797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Bassin'!$D$15,'Vol. par Bassin'!$G$15,'Vol. par Bassin'!$J$15,'Vol. par Bassin'!$M$15,'Vol. par Bassin'!$P$15,'Vol. par Bassin'!$S$15,'Vol. par Bassin'!$V$15,'Vol. par Bassin'!$Y$15,'Vol. par Bassin'!$AB$15,'Vol. par Bassin'!$AE$15,'Vol. par Bassin'!$AH$15,'Vol. par Bassin'!$AK$15)</c:f>
              <c:numCache>
                <c:formatCode>#,##0</c:formatCode>
                <c:ptCount val="12"/>
                <c:pt idx="0">
                  <c:v>41359</c:v>
                </c:pt>
                <c:pt idx="1">
                  <c:v>113046</c:v>
                </c:pt>
                <c:pt idx="2">
                  <c:v>150913</c:v>
                </c:pt>
                <c:pt idx="3">
                  <c:v>150913</c:v>
                </c:pt>
                <c:pt idx="4">
                  <c:v>150913</c:v>
                </c:pt>
                <c:pt idx="5">
                  <c:v>150913</c:v>
                </c:pt>
                <c:pt idx="6">
                  <c:v>150913</c:v>
                </c:pt>
                <c:pt idx="7">
                  <c:v>150913</c:v>
                </c:pt>
                <c:pt idx="8">
                  <c:v>150913</c:v>
                </c:pt>
                <c:pt idx="9">
                  <c:v>150913</c:v>
                </c:pt>
                <c:pt idx="10">
                  <c:v>150913</c:v>
                </c:pt>
                <c:pt idx="11">
                  <c:v>150913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Bassin'!$D$16,'Vol. par Bassin'!$G$16,'Vol. par Bassin'!$J$16,'Vol. par Bassin'!$M$16,'Vol. par Bassin'!$P$16,'Vol. par Bassin'!$S$16,'Vol. par Bassin'!$V$16,'Vol. par Bassin'!$Y$16,'Vol. par Bassin'!$AB$16,'Vol. par Bassin'!$AE$16,'Vol. par Bassin'!$AH$16,'Vol. par Bassin'!$AK$16)</c:f>
              <c:numCache>
                <c:formatCode>#,##0</c:formatCode>
                <c:ptCount val="12"/>
                <c:pt idx="0">
                  <c:v>32200</c:v>
                </c:pt>
                <c:pt idx="1">
                  <c:v>73600</c:v>
                </c:pt>
                <c:pt idx="2">
                  <c:v>113550</c:v>
                </c:pt>
                <c:pt idx="3">
                  <c:v>134050</c:v>
                </c:pt>
                <c:pt idx="4">
                  <c:v>149450</c:v>
                </c:pt>
                <c:pt idx="5">
                  <c:v>168450</c:v>
                </c:pt>
                <c:pt idx="6">
                  <c:v>220881</c:v>
                </c:pt>
                <c:pt idx="7">
                  <c:v>285081</c:v>
                </c:pt>
                <c:pt idx="8">
                  <c:v>339681</c:v>
                </c:pt>
                <c:pt idx="9">
                  <c:v>399031</c:v>
                </c:pt>
                <c:pt idx="10">
                  <c:v>436031</c:v>
                </c:pt>
                <c:pt idx="11">
                  <c:v>440381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Bassin'!$D$17,'Vol. par Bassin'!$G$17,'Vol. par Bassin'!$J$17,'Vol. par Bassin'!$M$17,'Vol. par Bassin'!$P$17,'Vol. par Bassin'!$S$17,'Vol. par Bassin'!$V$17,'Vol. par Bassin'!$Y$17,'Vol. par Bassin'!$AB$17,'Vol. par Bassin'!$AE$17,'Vol. par Bassin'!$AH$17,'Vol. par Bassin'!$AK$17)</c:f>
              <c:numCache>
                <c:formatCode>#,##0</c:formatCode>
                <c:ptCount val="12"/>
                <c:pt idx="0">
                  <c:v>32200</c:v>
                </c:pt>
                <c:pt idx="1">
                  <c:v>51900</c:v>
                </c:pt>
                <c:pt idx="2">
                  <c:v>79850</c:v>
                </c:pt>
                <c:pt idx="3">
                  <c:v>111850</c:v>
                </c:pt>
                <c:pt idx="4">
                  <c:v>123850</c:v>
                </c:pt>
                <c:pt idx="5">
                  <c:v>154350</c:v>
                </c:pt>
                <c:pt idx="6">
                  <c:v>236981</c:v>
                </c:pt>
                <c:pt idx="7">
                  <c:v>290831</c:v>
                </c:pt>
                <c:pt idx="8">
                  <c:v>335431</c:v>
                </c:pt>
                <c:pt idx="9">
                  <c:v>390881</c:v>
                </c:pt>
                <c:pt idx="10">
                  <c:v>427481</c:v>
                </c:pt>
                <c:pt idx="11">
                  <c:v>431831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67840"/>
        <c:axId val="96869376"/>
      </c:lineChart>
      <c:catAx>
        <c:axId val="9686784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96869376"/>
        <c:crosses val="autoZero"/>
        <c:auto val="1"/>
        <c:lblAlgn val="ctr"/>
        <c:lblOffset val="100"/>
        <c:noMultiLvlLbl val="0"/>
      </c:catAx>
      <c:valAx>
        <c:axId val="96869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6867840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Mensuel</a:t>
            </a:r>
          </a:p>
        </c:rich>
      </c:tx>
      <c:layout>
        <c:manualLayout>
          <c:xMode val="edge"/>
          <c:yMode val="edge"/>
          <c:x val="0.2801160811575261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34372177055104"/>
          <c:y val="0.10445185185185185"/>
          <c:w val="0.86565627822944902"/>
          <c:h val="0.55094490740740742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Bassin'!$E$6,'Vol. par Bassin'!$H$6,'Vol. par Bassin'!$K$6,'Vol. par Bassin'!$N$6,'Vol. par Bassin'!$Q$6,'Vol. par Bassin'!$T$6,'Vol. par Bassin'!$W$6,'Vol. par Bassin'!$Z$6,'Vol. par Bassin'!$AC$6,'Vol. par Bassin'!$AF$6,'Vol. par Bassin'!$AI$6,'Vol. par Bassin'!$AL$6)</c:f>
              <c:numCache>
                <c:formatCode>#,##0</c:formatCode>
                <c:ptCount val="12"/>
                <c:pt idx="0">
                  <c:v>60506</c:v>
                </c:pt>
                <c:pt idx="1">
                  <c:v>57161</c:v>
                </c:pt>
                <c:pt idx="2">
                  <c:v>47791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Bassin'!$E$7,'Vol. par Bassin'!$H$7,'Vol. par Bassin'!$K$7,'Vol. par Bassin'!$N$7,'Vol. par Bassin'!$Q$7,'Vol. par Bassin'!$T$7,'Vol. par Bassin'!$W$7,'Vol. par Bassin'!$Z$7,'Vol. par Bassin'!$AC$7,'Vol. par Bassin'!$AF$7,'Vol. par Bassin'!$AI$7,'Vol. par Bassin'!$AL$7)</c:f>
              <c:numCache>
                <c:formatCode>#,##0</c:formatCode>
                <c:ptCount val="12"/>
                <c:pt idx="0">
                  <c:v>11388</c:v>
                </c:pt>
                <c:pt idx="1">
                  <c:v>8985</c:v>
                </c:pt>
                <c:pt idx="2">
                  <c:v>3335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Bassin'!$E$8,'Vol. par Bassin'!$H$8,'Vol. par Bassin'!$K$8,'Vol. par Bassin'!$N$8,'Vol. par Bassin'!$Q$8,'Vol. par Bassin'!$T$8,'Vol. par Bassin'!$W$8,'Vol. par Bassin'!$Z$8,'Vol. par Bassin'!$AC$8,'Vol. par Bassin'!$AF$8,'Vol. par Bassin'!$AI$8,'Vol. par Bassin'!$AL$8)</c:f>
              <c:numCache>
                <c:formatCode>#,##0</c:formatCode>
                <c:ptCount val="12"/>
                <c:pt idx="0">
                  <c:v>71894</c:v>
                </c:pt>
                <c:pt idx="1">
                  <c:v>66146</c:v>
                </c:pt>
                <c:pt idx="2">
                  <c:v>51126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Bassin'!$E$9,'Vol. par Bassin'!$H$9,'Vol. par Bassin'!$K$9,'Vol. par Bassin'!$N$9,'Vol. par Bassin'!$Q$9,'Vol. par Bassin'!$T$9,'Vol. par Bassin'!$W$9,'Vol. par Bassin'!$Z$9,'Vol. par Bassin'!$AC$9,'Vol. par Bassin'!$AF$9,'Vol. par Bassin'!$AI$9,'Vol. par Bassin'!$AL$9)</c:f>
              <c:numCache>
                <c:formatCode>#,##0</c:formatCode>
                <c:ptCount val="12"/>
                <c:pt idx="0">
                  <c:v>56350</c:v>
                </c:pt>
                <c:pt idx="1">
                  <c:v>55900</c:v>
                </c:pt>
                <c:pt idx="2">
                  <c:v>56925</c:v>
                </c:pt>
                <c:pt idx="3">
                  <c:v>54500</c:v>
                </c:pt>
                <c:pt idx="4">
                  <c:v>35770</c:v>
                </c:pt>
                <c:pt idx="5">
                  <c:v>44414</c:v>
                </c:pt>
                <c:pt idx="6">
                  <c:v>54748</c:v>
                </c:pt>
                <c:pt idx="7">
                  <c:v>30600</c:v>
                </c:pt>
                <c:pt idx="8">
                  <c:v>35700</c:v>
                </c:pt>
                <c:pt idx="9">
                  <c:v>61839</c:v>
                </c:pt>
                <c:pt idx="10">
                  <c:v>36800</c:v>
                </c:pt>
                <c:pt idx="11">
                  <c:v>18900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Bassin'!$E$10,'Vol. par Bassin'!$H$10,'Vol. par Bassin'!$K$10,'Vol. par Bassin'!$N$10,'Vol. par Bassin'!$Q$10,'Vol. par Bassin'!$T$10,'Vol. par Bassin'!$W$10,'Vol. par Bassin'!$Z$10,'Vol. par Bassin'!$AC$10,'Vol. par Bassin'!$AF$10,'Vol. par Bassin'!$AI$10,'Vol. par Bassin'!$AL$10)</c:f>
              <c:numCache>
                <c:formatCode>#,##0</c:formatCode>
                <c:ptCount val="12"/>
                <c:pt idx="0">
                  <c:v>56350</c:v>
                </c:pt>
                <c:pt idx="1">
                  <c:v>10900</c:v>
                </c:pt>
                <c:pt idx="2">
                  <c:v>57625</c:v>
                </c:pt>
                <c:pt idx="3">
                  <c:v>48000</c:v>
                </c:pt>
                <c:pt idx="4">
                  <c:v>36370</c:v>
                </c:pt>
                <c:pt idx="5">
                  <c:v>51660</c:v>
                </c:pt>
                <c:pt idx="6">
                  <c:v>53198</c:v>
                </c:pt>
                <c:pt idx="7">
                  <c:v>28100</c:v>
                </c:pt>
                <c:pt idx="8">
                  <c:v>41400</c:v>
                </c:pt>
                <c:pt idx="9">
                  <c:v>63739</c:v>
                </c:pt>
                <c:pt idx="10">
                  <c:v>40800</c:v>
                </c:pt>
                <c:pt idx="11">
                  <c:v>21900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23648"/>
        <c:axId val="96925184"/>
      </c:lineChart>
      <c:catAx>
        <c:axId val="9692364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96925184"/>
        <c:crosses val="autoZero"/>
        <c:auto val="1"/>
        <c:lblAlgn val="ctr"/>
        <c:lblOffset val="100"/>
        <c:noMultiLvlLbl val="0"/>
      </c:catAx>
      <c:valAx>
        <c:axId val="96925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692364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Cumulé</a:t>
            </a:r>
          </a:p>
        </c:rich>
      </c:tx>
      <c:layout>
        <c:manualLayout>
          <c:xMode val="edge"/>
          <c:yMode val="edge"/>
          <c:x val="0.285278830253820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911894274121694"/>
          <c:y val="9.3215193435109131E-2"/>
          <c:w val="0.83088105725878303"/>
          <c:h val="0.56231361311497263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Bassin'!$E$13,'Vol. par Bassin'!$H$13,'Vol. par Bassin'!$K$13,'Vol. par Bassin'!$N$13,'Vol. par Bassin'!$Q$13,'Vol. par Bassin'!$T$13,'Vol. par Bassin'!$W$13,'Vol. par Bassin'!$Z$13,'Vol. par Bassin'!$AC$13,'Vol. par Bassin'!$AF$13,'Vol. par Bassin'!$AI$13,'Vol. par Bassin'!$AL$13)</c:f>
              <c:numCache>
                <c:formatCode>#,##0</c:formatCode>
                <c:ptCount val="12"/>
                <c:pt idx="0">
                  <c:v>60506</c:v>
                </c:pt>
                <c:pt idx="1">
                  <c:v>117667</c:v>
                </c:pt>
                <c:pt idx="2">
                  <c:v>165458</c:v>
                </c:pt>
                <c:pt idx="3">
                  <c:v>165458</c:v>
                </c:pt>
                <c:pt idx="4">
                  <c:v>165458</c:v>
                </c:pt>
                <c:pt idx="5">
                  <c:v>165458</c:v>
                </c:pt>
                <c:pt idx="6">
                  <c:v>165458</c:v>
                </c:pt>
                <c:pt idx="7">
                  <c:v>165458</c:v>
                </c:pt>
                <c:pt idx="8">
                  <c:v>165458</c:v>
                </c:pt>
                <c:pt idx="9">
                  <c:v>165458</c:v>
                </c:pt>
                <c:pt idx="10">
                  <c:v>165458</c:v>
                </c:pt>
                <c:pt idx="11">
                  <c:v>165458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Bassin'!$E$14,'Vol. par Bassin'!$H$14,'Vol. par Bassin'!$K$14,'Vol. par Bassin'!$N$14,'Vol. par Bassin'!$Q$14,'Vol. par Bassin'!$T$14,'Vol. par Bassin'!$W$14,'Vol. par Bassin'!$Z$14,'Vol. par Bassin'!$AC$14,'Vol. par Bassin'!$AF$14,'Vol. par Bassin'!$AI$14,'Vol. par Bassin'!$AL$14)</c:f>
              <c:numCache>
                <c:formatCode>#,##0</c:formatCode>
                <c:ptCount val="12"/>
                <c:pt idx="0">
                  <c:v>11388</c:v>
                </c:pt>
                <c:pt idx="1">
                  <c:v>20373</c:v>
                </c:pt>
                <c:pt idx="2">
                  <c:v>23708</c:v>
                </c:pt>
                <c:pt idx="3">
                  <c:v>23708</c:v>
                </c:pt>
                <c:pt idx="4">
                  <c:v>23708</c:v>
                </c:pt>
                <c:pt idx="5">
                  <c:v>23708</c:v>
                </c:pt>
                <c:pt idx="6">
                  <c:v>23708</c:v>
                </c:pt>
                <c:pt idx="7">
                  <c:v>23708</c:v>
                </c:pt>
                <c:pt idx="8">
                  <c:v>23708</c:v>
                </c:pt>
                <c:pt idx="9">
                  <c:v>23708</c:v>
                </c:pt>
                <c:pt idx="10">
                  <c:v>23708</c:v>
                </c:pt>
                <c:pt idx="11">
                  <c:v>23708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Bassin'!$E$15,'Vol. par Bassin'!$H$15,'Vol. par Bassin'!$K$15,'Vol. par Bassin'!$N$15,'Vol. par Bassin'!$Q$15,'Vol. par Bassin'!$T$15,'Vol. par Bassin'!$W$15,'Vol. par Bassin'!$Z$15,'Vol. par Bassin'!$AC$15,'Vol. par Bassin'!$AF$15,'Vol. par Bassin'!$AI$15,'Vol. par Bassin'!$AL$15)</c:f>
              <c:numCache>
                <c:formatCode>#,##0</c:formatCode>
                <c:ptCount val="12"/>
                <c:pt idx="0">
                  <c:v>71894</c:v>
                </c:pt>
                <c:pt idx="1">
                  <c:v>138040</c:v>
                </c:pt>
                <c:pt idx="2">
                  <c:v>189166</c:v>
                </c:pt>
                <c:pt idx="3">
                  <c:v>189166</c:v>
                </c:pt>
                <c:pt idx="4">
                  <c:v>189166</c:v>
                </c:pt>
                <c:pt idx="5">
                  <c:v>189166</c:v>
                </c:pt>
                <c:pt idx="6">
                  <c:v>189166</c:v>
                </c:pt>
                <c:pt idx="7">
                  <c:v>189166</c:v>
                </c:pt>
                <c:pt idx="8">
                  <c:v>189166</c:v>
                </c:pt>
                <c:pt idx="9">
                  <c:v>189166</c:v>
                </c:pt>
                <c:pt idx="10">
                  <c:v>189166</c:v>
                </c:pt>
                <c:pt idx="11">
                  <c:v>189166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Bassin'!$E$16,'Vol. par Bassin'!$H$16,'Vol. par Bassin'!$K$16,'Vol. par Bassin'!$N$16,'Vol. par Bassin'!$Q$16,'Vol. par Bassin'!$T$16,'Vol. par Bassin'!$W$16,'Vol. par Bassin'!$Z$16,'Vol. par Bassin'!$AC$16,'Vol. par Bassin'!$AF$16,'Vol. par Bassin'!$AI$16,'Vol. par Bassin'!$AL$16)</c:f>
              <c:numCache>
                <c:formatCode>#,##0</c:formatCode>
                <c:ptCount val="12"/>
                <c:pt idx="0">
                  <c:v>56350</c:v>
                </c:pt>
                <c:pt idx="1">
                  <c:v>112250</c:v>
                </c:pt>
                <c:pt idx="2">
                  <c:v>169175</c:v>
                </c:pt>
                <c:pt idx="3">
                  <c:v>223675</c:v>
                </c:pt>
                <c:pt idx="4">
                  <c:v>259445</c:v>
                </c:pt>
                <c:pt idx="5">
                  <c:v>303859</c:v>
                </c:pt>
                <c:pt idx="6">
                  <c:v>358607</c:v>
                </c:pt>
                <c:pt idx="7">
                  <c:v>389207</c:v>
                </c:pt>
                <c:pt idx="8">
                  <c:v>424907</c:v>
                </c:pt>
                <c:pt idx="9">
                  <c:v>486746</c:v>
                </c:pt>
                <c:pt idx="10">
                  <c:v>523546</c:v>
                </c:pt>
                <c:pt idx="11">
                  <c:v>542446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Bassin'!$E$17,'Vol. par Bassin'!$H$17,'Vol. par Bassin'!$K$17,'Vol. par Bassin'!$N$17,'Vol. par Bassin'!$Q$17,'Vol. par Bassin'!$T$17,'Vol. par Bassin'!$W$17,'Vol. par Bassin'!$Z$17,'Vol. par Bassin'!$AC$17,'Vol. par Bassin'!$AF$17,'Vol. par Bassin'!$AI$17,'Vol. par Bassin'!$AL$17)</c:f>
              <c:numCache>
                <c:formatCode>#,##0</c:formatCode>
                <c:ptCount val="12"/>
                <c:pt idx="0">
                  <c:v>56350</c:v>
                </c:pt>
                <c:pt idx="1">
                  <c:v>67250</c:v>
                </c:pt>
                <c:pt idx="2">
                  <c:v>124875</c:v>
                </c:pt>
                <c:pt idx="3">
                  <c:v>172875</c:v>
                </c:pt>
                <c:pt idx="4">
                  <c:v>209245</c:v>
                </c:pt>
                <c:pt idx="5">
                  <c:v>260905</c:v>
                </c:pt>
                <c:pt idx="6">
                  <c:v>314103</c:v>
                </c:pt>
                <c:pt idx="7">
                  <c:v>342203</c:v>
                </c:pt>
                <c:pt idx="8">
                  <c:v>383603</c:v>
                </c:pt>
                <c:pt idx="9">
                  <c:v>447342</c:v>
                </c:pt>
                <c:pt idx="10">
                  <c:v>488142</c:v>
                </c:pt>
                <c:pt idx="11">
                  <c:v>510042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79712"/>
        <c:axId val="98189696"/>
      </c:lineChart>
      <c:catAx>
        <c:axId val="9817971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98189696"/>
        <c:crosses val="autoZero"/>
        <c:auto val="1"/>
        <c:lblAlgn val="ctr"/>
        <c:lblOffset val="100"/>
        <c:noMultiLvlLbl val="0"/>
      </c:catAx>
      <c:valAx>
        <c:axId val="98189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817971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 Cumulé</a:t>
            </a:r>
          </a:p>
        </c:rich>
      </c:tx>
      <c:layout>
        <c:manualLayout>
          <c:xMode val="edge"/>
          <c:yMode val="edge"/>
          <c:x val="0.4103290784901922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49212741200834"/>
          <c:y val="8.8748148148148145E-2"/>
          <c:w val="0.82405238403947423"/>
          <c:h val="0.63223611111111111"/>
        </c:manualLayout>
      </c:layout>
      <c:lineChart>
        <c:grouping val="standard"/>
        <c:varyColors val="0"/>
        <c:ser>
          <c:idx val="0"/>
          <c:order val="0"/>
          <c:tx>
            <c:strRef>
              <c:f>'Vol. Ballast Tot. '!$B$9</c:f>
              <c:strCache>
                <c:ptCount val="1"/>
                <c:pt idx="0">
                  <c:v>Cumul Fer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'!$C$9:$N$9</c:f>
              <c:numCache>
                <c:formatCode>#,##0</c:formatCode>
                <c:ptCount val="12"/>
                <c:pt idx="0">
                  <c:v>149781</c:v>
                </c:pt>
                <c:pt idx="1">
                  <c:v>329120</c:v>
                </c:pt>
                <c:pt idx="2">
                  <c:v>479908</c:v>
                </c:pt>
                <c:pt idx="3">
                  <c:v>479908</c:v>
                </c:pt>
                <c:pt idx="4">
                  <c:v>479908</c:v>
                </c:pt>
                <c:pt idx="5">
                  <c:v>479908</c:v>
                </c:pt>
                <c:pt idx="6">
                  <c:v>479908</c:v>
                </c:pt>
                <c:pt idx="7">
                  <c:v>479908</c:v>
                </c:pt>
                <c:pt idx="8">
                  <c:v>479908</c:v>
                </c:pt>
                <c:pt idx="9">
                  <c:v>479908</c:v>
                </c:pt>
                <c:pt idx="10">
                  <c:v>479908</c:v>
                </c:pt>
                <c:pt idx="11">
                  <c:v>479908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'!$B$10</c:f>
              <c:strCache>
                <c:ptCount val="1"/>
                <c:pt idx="0">
                  <c:v>Cumul Route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'!$C$10:$N$10</c:f>
              <c:numCache>
                <c:formatCode>#,##0</c:formatCode>
                <c:ptCount val="12"/>
                <c:pt idx="0">
                  <c:v>28280</c:v>
                </c:pt>
                <c:pt idx="1">
                  <c:v>74979</c:v>
                </c:pt>
                <c:pt idx="2">
                  <c:v>90581</c:v>
                </c:pt>
                <c:pt idx="3">
                  <c:v>90581</c:v>
                </c:pt>
                <c:pt idx="4">
                  <c:v>90581</c:v>
                </c:pt>
                <c:pt idx="5">
                  <c:v>90581</c:v>
                </c:pt>
                <c:pt idx="6">
                  <c:v>90581</c:v>
                </c:pt>
                <c:pt idx="7">
                  <c:v>90581</c:v>
                </c:pt>
                <c:pt idx="8">
                  <c:v>90581</c:v>
                </c:pt>
                <c:pt idx="9">
                  <c:v>90581</c:v>
                </c:pt>
                <c:pt idx="10">
                  <c:v>90581</c:v>
                </c:pt>
                <c:pt idx="11">
                  <c:v>90581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'!$B$11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'!$C$11:$N$11</c:f>
              <c:numCache>
                <c:formatCode>#,##0</c:formatCode>
                <c:ptCount val="12"/>
                <c:pt idx="0">
                  <c:v>178061</c:v>
                </c:pt>
                <c:pt idx="1">
                  <c:v>404099</c:v>
                </c:pt>
                <c:pt idx="2">
                  <c:v>570489</c:v>
                </c:pt>
                <c:pt idx="3">
                  <c:v>570489</c:v>
                </c:pt>
                <c:pt idx="4">
                  <c:v>570489</c:v>
                </c:pt>
                <c:pt idx="5">
                  <c:v>570489</c:v>
                </c:pt>
                <c:pt idx="6">
                  <c:v>570489</c:v>
                </c:pt>
                <c:pt idx="7">
                  <c:v>570489</c:v>
                </c:pt>
                <c:pt idx="8">
                  <c:v>570489</c:v>
                </c:pt>
                <c:pt idx="9">
                  <c:v>570489</c:v>
                </c:pt>
                <c:pt idx="10">
                  <c:v>570489</c:v>
                </c:pt>
                <c:pt idx="11">
                  <c:v>570489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'!$B$12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'!$C$12:$N$12</c:f>
              <c:numCache>
                <c:formatCode>#,##0</c:formatCode>
                <c:ptCount val="12"/>
                <c:pt idx="0">
                  <c:v>193300</c:v>
                </c:pt>
                <c:pt idx="1">
                  <c:v>397306</c:v>
                </c:pt>
                <c:pt idx="2">
                  <c:v>587531</c:v>
                </c:pt>
                <c:pt idx="3">
                  <c:v>778731</c:v>
                </c:pt>
                <c:pt idx="4">
                  <c:v>934521</c:v>
                </c:pt>
                <c:pt idx="5">
                  <c:v>1071545</c:v>
                </c:pt>
                <c:pt idx="6">
                  <c:v>1230173</c:v>
                </c:pt>
                <c:pt idx="7">
                  <c:v>1373373</c:v>
                </c:pt>
                <c:pt idx="8">
                  <c:v>1534108</c:v>
                </c:pt>
                <c:pt idx="9">
                  <c:v>1747697</c:v>
                </c:pt>
                <c:pt idx="10">
                  <c:v>1906097</c:v>
                </c:pt>
                <c:pt idx="11">
                  <c:v>1960947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'!$B$13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'!$C$13:$N$13</c:f>
              <c:numCache>
                <c:formatCode>#,##0</c:formatCode>
                <c:ptCount val="12"/>
                <c:pt idx="0">
                  <c:v>193300</c:v>
                </c:pt>
                <c:pt idx="1">
                  <c:v>326006</c:v>
                </c:pt>
                <c:pt idx="2">
                  <c:v>510087</c:v>
                </c:pt>
                <c:pt idx="3">
                  <c:v>723787</c:v>
                </c:pt>
                <c:pt idx="4">
                  <c:v>863597</c:v>
                </c:pt>
                <c:pt idx="5">
                  <c:v>1016767</c:v>
                </c:pt>
                <c:pt idx="6">
                  <c:v>1218840</c:v>
                </c:pt>
                <c:pt idx="7">
                  <c:v>1346290</c:v>
                </c:pt>
                <c:pt idx="8">
                  <c:v>1492225</c:v>
                </c:pt>
                <c:pt idx="9">
                  <c:v>1699468</c:v>
                </c:pt>
                <c:pt idx="10">
                  <c:v>1861868</c:v>
                </c:pt>
                <c:pt idx="11">
                  <c:v>1924318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69440"/>
        <c:axId val="96270976"/>
      </c:lineChart>
      <c:catAx>
        <c:axId val="9626944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96270976"/>
        <c:crosses val="autoZero"/>
        <c:auto val="1"/>
        <c:lblAlgn val="ctr"/>
        <c:lblOffset val="100"/>
        <c:noMultiLvlLbl val="0"/>
      </c:catAx>
      <c:valAx>
        <c:axId val="96270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96269440"/>
        <c:crosses val="autoZero"/>
        <c:crossBetween val="between"/>
      </c:valAx>
      <c:dTable>
        <c:showHorzBorder val="1"/>
        <c:showVertBorder val="1"/>
        <c:showOutline val="1"/>
        <c:showKeys val="0"/>
      </c:dTable>
      <c:spPr>
        <a:ln w="952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060770274675352"/>
          <c:y val="4.358973478907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63301329104122"/>
          <c:y val="0.15570253266655912"/>
          <c:w val="0.7987728501180219"/>
          <c:h val="0.65816861333159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'BDD-TDB'!$A$9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'BDD-TDB'!$B$7:$E$8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antérieurs cumulés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'BDD-TDB'!$B$9:$E$9</c:f>
              <c:numCache>
                <c:formatCode>#,##0</c:formatCode>
                <c:ptCount val="4"/>
                <c:pt idx="0">
                  <c:v>116.47763503307306</c:v>
                </c:pt>
                <c:pt idx="1">
                  <c:v>294.47736671231172</c:v>
                </c:pt>
                <c:pt idx="2">
                  <c:v>17.265971161746464</c:v>
                </c:pt>
                <c:pt idx="3">
                  <c:v>477.89579987951799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04416"/>
        <c:axId val="88205952"/>
      </c:barChart>
      <c:catAx>
        <c:axId val="88204416"/>
        <c:scaling>
          <c:orientation val="minMax"/>
        </c:scaling>
        <c:delete val="0"/>
        <c:axPos val="b"/>
        <c:majorTickMark val="out"/>
        <c:minorTickMark val="none"/>
        <c:tickLblPos val="nextTo"/>
        <c:crossAx val="88205952"/>
        <c:crosses val="autoZero"/>
        <c:auto val="1"/>
        <c:lblAlgn val="ctr"/>
        <c:lblOffset val="100"/>
        <c:noMultiLvlLbl val="0"/>
      </c:catAx>
      <c:valAx>
        <c:axId val="882059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82044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845458435456013"/>
          <c:y val="0.14383796296296297"/>
          <c:w val="0.78921209703651252"/>
          <c:h val="0.66249933862433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'BDD-TDB'!$A$10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'BDD-TDB'!$B$7:$E$8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antérieurs cumulés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'BDD-TDB'!$B$10:$E$10</c:f>
              <c:numCache>
                <c:formatCode>#,##0</c:formatCode>
                <c:ptCount val="4"/>
                <c:pt idx="0">
                  <c:v>884350.59099084605</c:v>
                </c:pt>
                <c:pt idx="1">
                  <c:v>1385578.0524004267</c:v>
                </c:pt>
                <c:pt idx="2">
                  <c:v>884350.59099084605</c:v>
                </c:pt>
                <c:pt idx="3">
                  <c:v>1385578.0524004267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17728"/>
        <c:axId val="96231808"/>
      </c:barChart>
      <c:catAx>
        <c:axId val="96217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fr-FR"/>
          </a:p>
        </c:txPr>
        <c:crossAx val="96231808"/>
        <c:crosses val="autoZero"/>
        <c:auto val="1"/>
        <c:lblAlgn val="ctr"/>
        <c:lblOffset val="100"/>
        <c:noMultiLvlLbl val="0"/>
      </c:catAx>
      <c:valAx>
        <c:axId val="962318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62177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456329690346083"/>
          <c:y val="0.18119583333333333"/>
          <c:w val="0.80182103825136608"/>
          <c:h val="0.63050833333333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'BDD-TDB'!$A$15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rgbClr val="FCD268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'BDD-TDB'!$B$13:$E$14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'BDD-TDB'!$B$15:$E$15</c:f>
              <c:numCache>
                <c:formatCode>#,##0</c:formatCode>
                <c:ptCount val="4"/>
                <c:pt idx="0">
                  <c:v>22.84726560770639</c:v>
                </c:pt>
                <c:pt idx="1">
                  <c:v>44.830852865163536</c:v>
                </c:pt>
                <c:pt idx="2">
                  <c:v>17.265971161746464</c:v>
                </c:pt>
                <c:pt idx="3">
                  <c:v>36.191423412578999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54688"/>
        <c:axId val="96356224"/>
      </c:barChart>
      <c:catAx>
        <c:axId val="96354688"/>
        <c:scaling>
          <c:orientation val="minMax"/>
        </c:scaling>
        <c:delete val="0"/>
        <c:axPos val="b"/>
        <c:majorTickMark val="out"/>
        <c:minorTickMark val="none"/>
        <c:tickLblPos val="nextTo"/>
        <c:crossAx val="96356224"/>
        <c:crosses val="autoZero"/>
        <c:auto val="1"/>
        <c:lblAlgn val="ctr"/>
        <c:lblOffset val="100"/>
        <c:noMultiLvlLbl val="0"/>
      </c:catAx>
      <c:valAx>
        <c:axId val="963562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63546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50865209471767"/>
          <c:y val="0.1681720867208672"/>
          <c:w val="0.78487568306010924"/>
          <c:h val="0.6481246612466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'BDD-TDB'!$A$16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rgbClr val="FCD268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'BDD-TDB'!$B$13:$E$14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'BDD-TDB'!$B$16:$E$16</c:f>
              <c:numCache>
                <c:formatCode>#,##0</c:formatCode>
                <c:ptCount val="4"/>
                <c:pt idx="0">
                  <c:v>2566.9676566724333</c:v>
                </c:pt>
                <c:pt idx="1">
                  <c:v>0</c:v>
                </c:pt>
                <c:pt idx="2">
                  <c:v>2847.4248261232374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97184"/>
        <c:axId val="96398720"/>
      </c:barChart>
      <c:catAx>
        <c:axId val="96397184"/>
        <c:scaling>
          <c:orientation val="minMax"/>
        </c:scaling>
        <c:delete val="0"/>
        <c:axPos val="b"/>
        <c:majorTickMark val="out"/>
        <c:minorTickMark val="none"/>
        <c:tickLblPos val="nextTo"/>
        <c:crossAx val="96398720"/>
        <c:crosses val="autoZero"/>
        <c:auto val="1"/>
        <c:lblAlgn val="ctr"/>
        <c:lblOffset val="100"/>
        <c:noMultiLvlLbl val="0"/>
      </c:catAx>
      <c:valAx>
        <c:axId val="963987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63971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98272143071756"/>
          <c:y val="0.18293575563133807"/>
          <c:w val="0.81636957213903572"/>
          <c:h val="0.62696031140626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'BDD-TDB'!$A$21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'BDD-TDB'!$B$19:$E$20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'BDD-TDB'!$B$21:$E$21</c:f>
              <c:numCache>
                <c:formatCode>#,##0</c:formatCode>
                <c:ptCount val="4"/>
                <c:pt idx="0">
                  <c:v>0</c:v>
                </c:pt>
                <c:pt idx="1">
                  <c:v>18.11211203013676</c:v>
                </c:pt>
                <c:pt idx="2">
                  <c:v>0</c:v>
                </c:pt>
                <c:pt idx="3">
                  <c:v>16.09010540632438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46016"/>
        <c:axId val="98272384"/>
      </c:barChart>
      <c:catAx>
        <c:axId val="9824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98272384"/>
        <c:crosses val="autoZero"/>
        <c:auto val="1"/>
        <c:lblAlgn val="ctr"/>
        <c:lblOffset val="100"/>
        <c:noMultiLvlLbl val="0"/>
      </c:catAx>
      <c:valAx>
        <c:axId val="982723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82460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76019051536343"/>
          <c:y val="5.2105663721534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51581888220706"/>
          <c:y val="0.18538075880758809"/>
          <c:w val="0.80483647468754627"/>
          <c:h val="0.63091598915989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'BDD-TDB'!$A$22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'BDD-TDB'!$B$19:$E$20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'BDD-TDB'!$B$22:$E$22</c:f>
              <c:numCache>
                <c:formatCode>#,##0</c:formatCode>
                <c:ptCount val="4"/>
                <c:pt idx="0">
                  <c:v>0</c:v>
                </c:pt>
                <c:pt idx="1">
                  <c:v>1069623</c:v>
                </c:pt>
                <c:pt idx="2">
                  <c:v>0</c:v>
                </c:pt>
                <c:pt idx="3">
                  <c:v>1276863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96960"/>
        <c:axId val="98298496"/>
      </c:barChart>
      <c:catAx>
        <c:axId val="98296960"/>
        <c:scaling>
          <c:orientation val="minMax"/>
        </c:scaling>
        <c:delete val="0"/>
        <c:axPos val="b"/>
        <c:majorTickMark val="out"/>
        <c:minorTickMark val="none"/>
        <c:tickLblPos val="nextTo"/>
        <c:crossAx val="98298496"/>
        <c:crosses val="autoZero"/>
        <c:auto val="1"/>
        <c:lblAlgn val="ctr"/>
        <c:lblOffset val="100"/>
        <c:noMultiLvlLbl val="0"/>
      </c:catAx>
      <c:valAx>
        <c:axId val="982984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82969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39292114695342"/>
          <c:y val="0.19068701464417107"/>
          <c:w val="0.80501747311827954"/>
          <c:h val="0.61115406708635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'BDD-TDB'!$A$27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'BDD-TDB'!$B$25:$E$26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'BDD-TDB'!$B$27:$E$27</c:f>
              <c:numCache>
                <c:formatCode>#,##0</c:formatCode>
                <c:ptCount val="4"/>
                <c:pt idx="0">
                  <c:v>159098.48878321657</c:v>
                </c:pt>
                <c:pt idx="1">
                  <c:v>459703.64780000004</c:v>
                </c:pt>
                <c:pt idx="2">
                  <c:v>154165.86954718723</c:v>
                </c:pt>
                <c:pt idx="3">
                  <c:v>401953.34600000008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31264"/>
        <c:axId val="98337152"/>
      </c:barChart>
      <c:catAx>
        <c:axId val="98331264"/>
        <c:scaling>
          <c:orientation val="minMax"/>
        </c:scaling>
        <c:delete val="0"/>
        <c:axPos val="b"/>
        <c:majorTickMark val="out"/>
        <c:minorTickMark val="none"/>
        <c:tickLblPos val="nextTo"/>
        <c:crossAx val="98337152"/>
        <c:crosses val="autoZero"/>
        <c:auto val="1"/>
        <c:lblAlgn val="ctr"/>
        <c:lblOffset val="100"/>
        <c:noMultiLvlLbl val="0"/>
      </c:catAx>
      <c:valAx>
        <c:axId val="983371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83312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881056466302374"/>
          <c:y val="3.24076388888888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50865209471767"/>
          <c:y val="0.1939850948509485"/>
          <c:w val="0.78487568306010924"/>
          <c:h val="0.62231165311653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'BDD-TDB'!$A$28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'BDD-TDB'!$B$25:$E$26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'BDD-TDB'!$B$28:$E$28</c:f>
              <c:numCache>
                <c:formatCode>#,##0</c:formatCode>
                <c:ptCount val="4"/>
                <c:pt idx="0">
                  <c:v>0</c:v>
                </c:pt>
                <c:pt idx="1">
                  <c:v>6.9821260583254938</c:v>
                </c:pt>
                <c:pt idx="2">
                  <c:v>0</c:v>
                </c:pt>
                <c:pt idx="3">
                  <c:v>5.7787439613526574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53536"/>
        <c:axId val="98355072"/>
      </c:barChart>
      <c:catAx>
        <c:axId val="98353536"/>
        <c:scaling>
          <c:orientation val="minMax"/>
        </c:scaling>
        <c:delete val="0"/>
        <c:axPos val="b"/>
        <c:majorTickMark val="out"/>
        <c:minorTickMark val="none"/>
        <c:tickLblPos val="nextTo"/>
        <c:crossAx val="98355072"/>
        <c:crosses val="autoZero"/>
        <c:auto val="1"/>
        <c:lblAlgn val="ctr"/>
        <c:lblOffset val="100"/>
        <c:noMultiLvlLbl val="0"/>
      </c:catAx>
      <c:valAx>
        <c:axId val="98355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83535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 Mensuel</a:t>
            </a:r>
          </a:p>
        </c:rich>
      </c:tx>
      <c:layout>
        <c:manualLayout>
          <c:xMode val="edge"/>
          <c:yMode val="edge"/>
          <c:x val="0.41002705582034549"/>
          <c:y val="5.783093911238193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44489981785063"/>
          <c:y val="9.2020442090547924E-2"/>
          <c:w val="0.85867008196721306"/>
          <c:h val="0.60462165781407851"/>
        </c:manualLayout>
      </c:layout>
      <c:lineChart>
        <c:grouping val="standard"/>
        <c:varyColors val="0"/>
        <c:ser>
          <c:idx val="0"/>
          <c:order val="0"/>
          <c:tx>
            <c:strRef>
              <c:f>'Vol. Ballast Tot. '!$B$4</c:f>
              <c:strCache>
                <c:ptCount val="1"/>
                <c:pt idx="0">
                  <c:v>Total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'!$C$4:$N$4</c:f>
              <c:numCache>
                <c:formatCode>#,##0</c:formatCode>
                <c:ptCount val="12"/>
                <c:pt idx="0">
                  <c:v>149781</c:v>
                </c:pt>
                <c:pt idx="1">
                  <c:v>179339</c:v>
                </c:pt>
                <c:pt idx="2">
                  <c:v>150788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'!$B$5</c:f>
              <c:strCache>
                <c:ptCount val="1"/>
                <c:pt idx="0">
                  <c:v>Total Route 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'!$C$5:$N$5</c:f>
              <c:numCache>
                <c:formatCode>#,##0</c:formatCode>
                <c:ptCount val="12"/>
                <c:pt idx="0">
                  <c:v>28280</c:v>
                </c:pt>
                <c:pt idx="1">
                  <c:v>46699</c:v>
                </c:pt>
                <c:pt idx="2">
                  <c:v>15602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'!$B$6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'!$C$6:$N$6</c:f>
              <c:numCache>
                <c:formatCode>#,##0</c:formatCode>
                <c:ptCount val="12"/>
                <c:pt idx="0">
                  <c:v>178061</c:v>
                </c:pt>
                <c:pt idx="1">
                  <c:v>226038</c:v>
                </c:pt>
                <c:pt idx="2">
                  <c:v>166390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'!$B$7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'!$C$7:$N$7</c:f>
              <c:numCache>
                <c:formatCode>#,##0</c:formatCode>
                <c:ptCount val="12"/>
                <c:pt idx="0">
                  <c:v>193300</c:v>
                </c:pt>
                <c:pt idx="1">
                  <c:v>204006</c:v>
                </c:pt>
                <c:pt idx="2">
                  <c:v>190225</c:v>
                </c:pt>
                <c:pt idx="3">
                  <c:v>191200</c:v>
                </c:pt>
                <c:pt idx="4">
                  <c:v>155790</c:v>
                </c:pt>
                <c:pt idx="5">
                  <c:v>137024</c:v>
                </c:pt>
                <c:pt idx="6">
                  <c:v>158628</c:v>
                </c:pt>
                <c:pt idx="7">
                  <c:v>143200</c:v>
                </c:pt>
                <c:pt idx="8">
                  <c:v>160735</c:v>
                </c:pt>
                <c:pt idx="9">
                  <c:v>213589</c:v>
                </c:pt>
                <c:pt idx="10">
                  <c:v>158400</c:v>
                </c:pt>
                <c:pt idx="11">
                  <c:v>54850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'!$B$8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'!$C$8:$N$8</c:f>
              <c:numCache>
                <c:formatCode>#,##0</c:formatCode>
                <c:ptCount val="12"/>
                <c:pt idx="0">
                  <c:v>193300</c:v>
                </c:pt>
                <c:pt idx="1">
                  <c:v>132706</c:v>
                </c:pt>
                <c:pt idx="2">
                  <c:v>184081</c:v>
                </c:pt>
                <c:pt idx="3">
                  <c:v>213700</c:v>
                </c:pt>
                <c:pt idx="4">
                  <c:v>139810</c:v>
                </c:pt>
                <c:pt idx="5">
                  <c:v>153170</c:v>
                </c:pt>
                <c:pt idx="6">
                  <c:v>202073</c:v>
                </c:pt>
                <c:pt idx="7">
                  <c:v>127450</c:v>
                </c:pt>
                <c:pt idx="8">
                  <c:v>145935</c:v>
                </c:pt>
                <c:pt idx="9">
                  <c:v>207243</c:v>
                </c:pt>
                <c:pt idx="10">
                  <c:v>162400</c:v>
                </c:pt>
                <c:pt idx="11">
                  <c:v>62450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65920"/>
        <c:axId val="98867456"/>
      </c:lineChart>
      <c:catAx>
        <c:axId val="9886592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98867456"/>
        <c:crosses val="autoZero"/>
        <c:auto val="1"/>
        <c:lblAlgn val="ctr"/>
        <c:lblOffset val="100"/>
        <c:noMultiLvlLbl val="0"/>
      </c:catAx>
      <c:valAx>
        <c:axId val="98867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98865920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25" r="0.25" t="0.75" header="0.3" footer="0.3"/>
    <c:pageSetup paperSize="8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fr-FR" sz="800">
                <a:solidFill>
                  <a:schemeClr val="accent1"/>
                </a:solidFill>
              </a:rPr>
              <a:t>TOTAL BALLAST</a:t>
            </a:r>
          </a:p>
        </c:rich>
      </c:tx>
      <c:layout>
        <c:manualLayout>
          <c:xMode val="edge"/>
          <c:yMode val="edge"/>
          <c:x val="0.335138528175301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836447520870735"/>
          <c:y val="0.25580837158807596"/>
          <c:w val="0.34751056540991487"/>
          <c:h val="0.64382545931758528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</c:dLbls>
          <c:cat>
            <c:strRef>
              <c:f>'Vol. Ballast Tot. '!$B$4:$B$5</c:f>
              <c:strCache>
                <c:ptCount val="2"/>
                <c:pt idx="0">
                  <c:v>Total Fer</c:v>
                </c:pt>
                <c:pt idx="1">
                  <c:v>Total Route </c:v>
                </c:pt>
              </c:strCache>
            </c:strRef>
          </c:cat>
          <c:val>
            <c:numRef>
              <c:f>'Vol. Ballast Tot. '!$O$4:$O$5</c:f>
              <c:numCache>
                <c:formatCode>#,##0</c:formatCode>
                <c:ptCount val="2"/>
                <c:pt idx="0">
                  <c:v>479908</c:v>
                </c:pt>
                <c:pt idx="1">
                  <c:v>90581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2717270540921208"/>
          <c:y val="0.34287901736341697"/>
          <c:w val="0.27282729459078786"/>
          <c:h val="0.27572955830465889"/>
        </c:manualLayout>
      </c:layout>
      <c:overlay val="0"/>
      <c:txPr>
        <a:bodyPr/>
        <a:lstStyle/>
        <a:p>
          <a:pPr rtl="0">
            <a:defRPr sz="700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GEOPARTS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Accostage!$E$123:$F$123</c:f>
              <c:strCache>
                <c:ptCount val="1"/>
                <c:pt idx="0">
                  <c:v>Tonne Réalisé</c:v>
                </c:pt>
              </c:strCache>
            </c:strRef>
          </c:tx>
          <c:spPr>
            <a:solidFill>
              <a:schemeClr val="accent5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Accostage!$G$119:$R$121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Accostage!$G$123:$R$123</c:f>
              <c:numCache>
                <c:formatCode>#,##0</c:formatCode>
                <c:ptCount val="12"/>
                <c:pt idx="0">
                  <c:v>459703.64780000004</c:v>
                </c:pt>
                <c:pt idx="1">
                  <c:v>861656.99380000005</c:v>
                </c:pt>
                <c:pt idx="2">
                  <c:v>861656.99380000005</c:v>
                </c:pt>
                <c:pt idx="3">
                  <c:v>861656.99380000005</c:v>
                </c:pt>
                <c:pt idx="4">
                  <c:v>861656.99380000005</c:v>
                </c:pt>
                <c:pt idx="5">
                  <c:v>861656.99380000005</c:v>
                </c:pt>
                <c:pt idx="6">
                  <c:v>861656.99380000005</c:v>
                </c:pt>
                <c:pt idx="7">
                  <c:v>861656.99380000005</c:v>
                </c:pt>
                <c:pt idx="8">
                  <c:v>861656.99380000005</c:v>
                </c:pt>
                <c:pt idx="9">
                  <c:v>861656.99380000005</c:v>
                </c:pt>
                <c:pt idx="10">
                  <c:v>861656.99380000005</c:v>
                </c:pt>
                <c:pt idx="11">
                  <c:v>861656.99380000005</c:v>
                </c:pt>
              </c:numCache>
            </c:numRef>
          </c:val>
        </c:ser>
        <c:ser>
          <c:idx val="1"/>
          <c:order val="1"/>
          <c:tx>
            <c:strRef>
              <c:f>Accostage!$E$124:$F$124</c:f>
              <c:strCache>
                <c:ptCount val="1"/>
                <c:pt idx="0">
                  <c:v>Tonne Reste à faire</c:v>
                </c:pt>
              </c:strCache>
            </c:strRef>
          </c:tx>
          <c:spPr>
            <a:solidFill>
              <a:srgbClr val="5DFFC1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Accostage!$G$119:$R$121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Accostage!$G$124:$R$124</c:f>
              <c:numCache>
                <c:formatCode>#,##0</c:formatCode>
                <c:ptCount val="12"/>
                <c:pt idx="0">
                  <c:v>-459703.64780000004</c:v>
                </c:pt>
                <c:pt idx="1">
                  <c:v>-861656.99380000005</c:v>
                </c:pt>
                <c:pt idx="2">
                  <c:v>-861656.99380000005</c:v>
                </c:pt>
                <c:pt idx="3">
                  <c:v>-861656.99380000005</c:v>
                </c:pt>
                <c:pt idx="4">
                  <c:v>-861656.99380000005</c:v>
                </c:pt>
                <c:pt idx="5">
                  <c:v>-861656.99380000005</c:v>
                </c:pt>
                <c:pt idx="6">
                  <c:v>-861656.99380000005</c:v>
                </c:pt>
                <c:pt idx="7">
                  <c:v>-861656.99380000005</c:v>
                </c:pt>
                <c:pt idx="8">
                  <c:v>-861656.99380000005</c:v>
                </c:pt>
                <c:pt idx="9">
                  <c:v>-861656.99380000005</c:v>
                </c:pt>
                <c:pt idx="10">
                  <c:v>-861656.99380000005</c:v>
                </c:pt>
                <c:pt idx="11">
                  <c:v>-861656.99380000005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89856"/>
        <c:axId val="98491392"/>
      </c:areaChart>
      <c:catAx>
        <c:axId val="98489856"/>
        <c:scaling>
          <c:orientation val="minMax"/>
        </c:scaling>
        <c:delete val="0"/>
        <c:axPos val="b"/>
        <c:majorTickMark val="out"/>
        <c:minorTickMark val="none"/>
        <c:tickLblPos val="nextTo"/>
        <c:crossAx val="98491392"/>
        <c:crosses val="autoZero"/>
        <c:auto val="1"/>
        <c:lblAlgn val="ctr"/>
        <c:lblOffset val="100"/>
        <c:noMultiLvlLbl val="0"/>
      </c:catAx>
      <c:valAx>
        <c:axId val="984913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489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7332619888581153"/>
          <c:y val="0.59315637879044847"/>
          <c:w val="9.4123758044213843E-2"/>
          <c:h val="0.11080812640212186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OFI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Accostage!$E$98:$F$98</c:f>
              <c:strCache>
                <c:ptCount val="1"/>
                <c:pt idx="0">
                  <c:v>OFI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Accostage!$G$97:$R$97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Accostage!$G$98:$R$98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Accostage!$E$99:$F$99</c:f>
              <c:strCache>
                <c:ptCount val="1"/>
                <c:pt idx="0">
                  <c:v>Tonne Réalisé</c:v>
                </c:pt>
              </c:strCache>
            </c:strRef>
          </c:tx>
          <c:spPr>
            <a:solidFill>
              <a:schemeClr val="accent5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Accostage!$G$97:$R$97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Accostage!$G$99:$R$99</c:f>
              <c:numCache>
                <c:formatCode>#,##0</c:formatCode>
                <c:ptCount val="12"/>
                <c:pt idx="0">
                  <c:v>294.47736671231172</c:v>
                </c:pt>
                <c:pt idx="1">
                  <c:v>772.37316659182966</c:v>
                </c:pt>
                <c:pt idx="2">
                  <c:v>895.90595028251369</c:v>
                </c:pt>
                <c:pt idx="3">
                  <c:v>895.90595028251369</c:v>
                </c:pt>
                <c:pt idx="4">
                  <c:v>895.90595028251369</c:v>
                </c:pt>
                <c:pt idx="5">
                  <c:v>895.90595028251369</c:v>
                </c:pt>
                <c:pt idx="6">
                  <c:v>895.90595028251369</c:v>
                </c:pt>
                <c:pt idx="7">
                  <c:v>895.90595028251369</c:v>
                </c:pt>
                <c:pt idx="8">
                  <c:v>895.90595028251369</c:v>
                </c:pt>
                <c:pt idx="9">
                  <c:v>895.90595028251369</c:v>
                </c:pt>
                <c:pt idx="10">
                  <c:v>895.90595028251369</c:v>
                </c:pt>
                <c:pt idx="11">
                  <c:v>895.90595028251369</c:v>
                </c:pt>
              </c:numCache>
            </c:numRef>
          </c:val>
        </c:ser>
        <c:ser>
          <c:idx val="2"/>
          <c:order val="2"/>
          <c:tx>
            <c:strRef>
              <c:f>Accostage!$F$99:$F$100</c:f>
              <c:strCache>
                <c:ptCount val="1"/>
                <c:pt idx="0">
                  <c:v>Réalisé Reste à faire</c:v>
                </c:pt>
              </c:strCache>
            </c:strRef>
          </c:tx>
          <c:spPr>
            <a:solidFill>
              <a:srgbClr val="5DFFC1"/>
            </a:solidFill>
            <a:ln w="25400">
              <a:noFill/>
            </a:ln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Accostage!$G$97:$R$97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Accostage!$G$100:$R$100</c:f>
              <c:numCache>
                <c:formatCode>#,##0</c:formatCode>
                <c:ptCount val="12"/>
                <c:pt idx="0">
                  <c:v>-294.47736671231172</c:v>
                </c:pt>
                <c:pt idx="1">
                  <c:v>-772.37316659182966</c:v>
                </c:pt>
                <c:pt idx="2">
                  <c:v>-895.90595028251369</c:v>
                </c:pt>
                <c:pt idx="3">
                  <c:v>-895.90595028251369</c:v>
                </c:pt>
                <c:pt idx="4">
                  <c:v>-895.90595028251369</c:v>
                </c:pt>
                <c:pt idx="5">
                  <c:v>-895.90595028251369</c:v>
                </c:pt>
                <c:pt idx="6">
                  <c:v>-895.90595028251369</c:v>
                </c:pt>
                <c:pt idx="7">
                  <c:v>-895.90595028251369</c:v>
                </c:pt>
                <c:pt idx="8">
                  <c:v>-895.90595028251369</c:v>
                </c:pt>
                <c:pt idx="9">
                  <c:v>-895.90595028251369</c:v>
                </c:pt>
                <c:pt idx="10">
                  <c:v>-895.90595028251369</c:v>
                </c:pt>
                <c:pt idx="11">
                  <c:v>-895.90595028251369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26720"/>
        <c:axId val="98528256"/>
      </c:areaChart>
      <c:catAx>
        <c:axId val="9852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98528256"/>
        <c:crosses val="autoZero"/>
        <c:auto val="1"/>
        <c:lblAlgn val="ctr"/>
        <c:lblOffset val="100"/>
        <c:noMultiLvlLbl val="0"/>
      </c:catAx>
      <c:valAx>
        <c:axId val="98528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526720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FRET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Accostage!$E$106:$F$106</c:f>
              <c:strCache>
                <c:ptCount val="1"/>
                <c:pt idx="0">
                  <c:v>FRET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Accostage!$G$103:$R$105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Accostage!$G$106:$R$106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Accostage!$E$107:$F$107</c:f>
              <c:strCache>
                <c:ptCount val="1"/>
                <c:pt idx="0">
                  <c:v>Tonne Réalisé</c:v>
                </c:pt>
              </c:strCache>
            </c:strRef>
          </c:tx>
          <c:spPr>
            <a:solidFill>
              <a:schemeClr val="accent5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Accostage!$G$103:$R$105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Accostage!$G$107:$R$107</c:f>
              <c:numCache>
                <c:formatCode>#,##0</c:formatCode>
                <c:ptCount val="12"/>
                <c:pt idx="0">
                  <c:v>44.830852865163536</c:v>
                </c:pt>
                <c:pt idx="1">
                  <c:v>81.022276277742534</c:v>
                </c:pt>
                <c:pt idx="2">
                  <c:v>173.61172486194522</c:v>
                </c:pt>
                <c:pt idx="3">
                  <c:v>173.61172486194522</c:v>
                </c:pt>
                <c:pt idx="4">
                  <c:v>173.61172486194522</c:v>
                </c:pt>
                <c:pt idx="5">
                  <c:v>173.61172486194522</c:v>
                </c:pt>
                <c:pt idx="6">
                  <c:v>173.61172486194522</c:v>
                </c:pt>
                <c:pt idx="7">
                  <c:v>173.61172486194522</c:v>
                </c:pt>
                <c:pt idx="8">
                  <c:v>173.61172486194522</c:v>
                </c:pt>
                <c:pt idx="9">
                  <c:v>173.61172486194522</c:v>
                </c:pt>
                <c:pt idx="10">
                  <c:v>173.61172486194522</c:v>
                </c:pt>
                <c:pt idx="11">
                  <c:v>173.61172486194522</c:v>
                </c:pt>
              </c:numCache>
            </c:numRef>
          </c:val>
        </c:ser>
        <c:ser>
          <c:idx val="2"/>
          <c:order val="2"/>
          <c:tx>
            <c:strRef>
              <c:f>Accostage!$E$108:$F$108</c:f>
              <c:strCache>
                <c:ptCount val="1"/>
                <c:pt idx="0">
                  <c:v>Tonne Reste à faire</c:v>
                </c:pt>
              </c:strCache>
            </c:strRef>
          </c:tx>
          <c:spPr>
            <a:solidFill>
              <a:srgbClr val="5DFFC1"/>
            </a:solidFill>
            <a:ln w="25400">
              <a:noFill/>
            </a:ln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Accostage!$G$103:$R$105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Accostage!$G$108:$R$108</c:f>
              <c:numCache>
                <c:formatCode>#,##0</c:formatCode>
                <c:ptCount val="12"/>
                <c:pt idx="0">
                  <c:v>-44.830852865163536</c:v>
                </c:pt>
                <c:pt idx="1">
                  <c:v>-81.022276277742534</c:v>
                </c:pt>
                <c:pt idx="2">
                  <c:v>-173.61172486194522</c:v>
                </c:pt>
                <c:pt idx="3">
                  <c:v>-173.61172486194522</c:v>
                </c:pt>
                <c:pt idx="4">
                  <c:v>-173.61172486194522</c:v>
                </c:pt>
                <c:pt idx="5">
                  <c:v>-173.61172486194522</c:v>
                </c:pt>
                <c:pt idx="6">
                  <c:v>-173.61172486194522</c:v>
                </c:pt>
                <c:pt idx="7">
                  <c:v>-173.61172486194522</c:v>
                </c:pt>
                <c:pt idx="8">
                  <c:v>-173.61172486194522</c:v>
                </c:pt>
                <c:pt idx="9">
                  <c:v>-173.61172486194522</c:v>
                </c:pt>
                <c:pt idx="10">
                  <c:v>-173.61172486194522</c:v>
                </c:pt>
                <c:pt idx="11">
                  <c:v>-173.61172486194522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76256"/>
        <c:axId val="98577792"/>
      </c:areaChart>
      <c:catAx>
        <c:axId val="9857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8577792"/>
        <c:crosses val="autoZero"/>
        <c:auto val="1"/>
        <c:lblAlgn val="ctr"/>
        <c:lblOffset val="100"/>
        <c:noMultiLvlLbl val="0"/>
      </c:catAx>
      <c:valAx>
        <c:axId val="98577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576256"/>
        <c:crosses val="autoZero"/>
        <c:crossBetween val="midCat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2954900055213141"/>
          <c:y val="0.31032285974499091"/>
          <c:w val="6.4532809798782328E-2"/>
          <c:h val="0.15662704918032788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VFLI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Accostage!$E$114:$F$114</c:f>
              <c:strCache>
                <c:ptCount val="1"/>
                <c:pt idx="0">
                  <c:v>VFLI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Accostage!$G$111:$R$113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Accostage!$G$114:$R$114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Accostage!$E$115:$F$115</c:f>
              <c:strCache>
                <c:ptCount val="1"/>
                <c:pt idx="0">
                  <c:v>Tonne Réalisé</c:v>
                </c:pt>
              </c:strCache>
            </c:strRef>
          </c:tx>
          <c:spPr>
            <a:solidFill>
              <a:schemeClr val="accent5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Accostage!$G$111:$R$113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Accostage!$G$115:$R$115</c:f>
              <c:numCache>
                <c:formatCode>#,##0</c:formatCode>
                <c:ptCount val="12"/>
                <c:pt idx="0">
                  <c:v>18.11211203013676</c:v>
                </c:pt>
                <c:pt idx="1">
                  <c:v>34.20221743646114</c:v>
                </c:pt>
                <c:pt idx="2">
                  <c:v>52.347234729149953</c:v>
                </c:pt>
                <c:pt idx="3">
                  <c:v>52.347234729149953</c:v>
                </c:pt>
                <c:pt idx="4">
                  <c:v>52.347234729149953</c:v>
                </c:pt>
                <c:pt idx="5">
                  <c:v>52.347234729149953</c:v>
                </c:pt>
                <c:pt idx="6">
                  <c:v>52.347234729149953</c:v>
                </c:pt>
                <c:pt idx="7">
                  <c:v>52.347234729149953</c:v>
                </c:pt>
                <c:pt idx="8">
                  <c:v>52.347234729149953</c:v>
                </c:pt>
                <c:pt idx="9">
                  <c:v>52.347234729149953</c:v>
                </c:pt>
                <c:pt idx="10">
                  <c:v>52.347234729149953</c:v>
                </c:pt>
                <c:pt idx="11">
                  <c:v>52.347234729149953</c:v>
                </c:pt>
              </c:numCache>
            </c:numRef>
          </c:val>
        </c:ser>
        <c:ser>
          <c:idx val="2"/>
          <c:order val="2"/>
          <c:tx>
            <c:strRef>
              <c:f>Accostage!$E$116:$F$116</c:f>
              <c:strCache>
                <c:ptCount val="1"/>
                <c:pt idx="0">
                  <c:v>Tonne Reste à faire</c:v>
                </c:pt>
              </c:strCache>
            </c:strRef>
          </c:tx>
          <c:spPr>
            <a:solidFill>
              <a:srgbClr val="5DFFC1"/>
            </a:solidFill>
            <a:ln w="25400">
              <a:noFill/>
            </a:ln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Accostage!$G$111:$R$113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Accostage!$G$116:$R$116</c:f>
              <c:numCache>
                <c:formatCode>#,##0</c:formatCode>
                <c:ptCount val="12"/>
                <c:pt idx="0">
                  <c:v>-18.11211203013676</c:v>
                </c:pt>
                <c:pt idx="1">
                  <c:v>-34.20221743646114</c:v>
                </c:pt>
                <c:pt idx="2">
                  <c:v>-52.347234729149953</c:v>
                </c:pt>
                <c:pt idx="3">
                  <c:v>-52.347234729149953</c:v>
                </c:pt>
                <c:pt idx="4">
                  <c:v>-52.347234729149953</c:v>
                </c:pt>
                <c:pt idx="5">
                  <c:v>-52.347234729149953</c:v>
                </c:pt>
                <c:pt idx="6">
                  <c:v>-52.347234729149953</c:v>
                </c:pt>
                <c:pt idx="7">
                  <c:v>-52.347234729149953</c:v>
                </c:pt>
                <c:pt idx="8">
                  <c:v>-52.347234729149953</c:v>
                </c:pt>
                <c:pt idx="9">
                  <c:v>-52.347234729149953</c:v>
                </c:pt>
                <c:pt idx="10">
                  <c:v>-52.347234729149953</c:v>
                </c:pt>
                <c:pt idx="11">
                  <c:v>-52.347234729149953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33984"/>
        <c:axId val="98643968"/>
      </c:areaChart>
      <c:catAx>
        <c:axId val="98633984"/>
        <c:scaling>
          <c:orientation val="minMax"/>
        </c:scaling>
        <c:delete val="0"/>
        <c:axPos val="b"/>
        <c:majorTickMark val="out"/>
        <c:minorTickMark val="none"/>
        <c:tickLblPos val="nextTo"/>
        <c:crossAx val="98643968"/>
        <c:crosses val="autoZero"/>
        <c:auto val="1"/>
        <c:lblAlgn val="ctr"/>
        <c:lblOffset val="100"/>
        <c:noMultiLvlLbl val="0"/>
      </c:catAx>
      <c:valAx>
        <c:axId val="986439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633984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>
              <a:solidFill>
                <a:schemeClr val="accent1"/>
              </a:solidFill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CTR!$A$26</c:f>
              <c:strCache>
                <c:ptCount val="1"/>
                <c:pt idx="0">
                  <c:v>Nombre CTR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CTR!$B$25:$D$25</c:f>
              <c:strCache>
                <c:ptCount val="3"/>
                <c:pt idx="0">
                  <c:v>SUD</c:v>
                </c:pt>
                <c:pt idx="1">
                  <c:v>N-E</c:v>
                </c:pt>
                <c:pt idx="2">
                  <c:v>N-O</c:v>
                </c:pt>
              </c:strCache>
            </c:strRef>
          </c:cat>
          <c:val>
            <c:numRef>
              <c:f>CTR!$B$26:$D$26</c:f>
              <c:numCache>
                <c:formatCode>General</c:formatCode>
                <c:ptCount val="3"/>
                <c:pt idx="0">
                  <c:v>815</c:v>
                </c:pt>
                <c:pt idx="1">
                  <c:v>372</c:v>
                </c:pt>
                <c:pt idx="2">
                  <c:v>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>
              <a:solidFill>
                <a:schemeClr val="accent1"/>
              </a:solidFill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CTR!$A$27</c:f>
              <c:strCache>
                <c:ptCount val="1"/>
                <c:pt idx="0">
                  <c:v>CTR non close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CTR!$B$25:$D$25</c:f>
              <c:strCache>
                <c:ptCount val="3"/>
                <c:pt idx="0">
                  <c:v>SUD</c:v>
                </c:pt>
                <c:pt idx="1">
                  <c:v>N-E</c:v>
                </c:pt>
                <c:pt idx="2">
                  <c:v>N-O</c:v>
                </c:pt>
              </c:strCache>
            </c:strRef>
          </c:cat>
          <c:val>
            <c:numRef>
              <c:f>CTR!$B$27:$D$27</c:f>
              <c:numCache>
                <c:formatCode>General</c:formatCode>
                <c:ptCount val="3"/>
                <c:pt idx="0">
                  <c:v>23</c:v>
                </c:pt>
                <c:pt idx="1">
                  <c:v>6</c:v>
                </c:pt>
                <c:pt idx="2">
                  <c:v>13</c:v>
                </c:pt>
              </c:numCache>
            </c:numRef>
          </c:val>
        </c:ser>
        <c:ser>
          <c:idx val="1"/>
          <c:order val="1"/>
          <c:tx>
            <c:strRef>
              <c:f>CTR!$B$25</c:f>
              <c:strCache>
                <c:ptCount val="1"/>
                <c:pt idx="0">
                  <c:v>SUD</c:v>
                </c:pt>
              </c:strCache>
            </c:strRef>
          </c:tx>
          <c:cat>
            <c:strRef>
              <c:f>CTR!$B$25:$D$25</c:f>
              <c:strCache>
                <c:ptCount val="3"/>
                <c:pt idx="0">
                  <c:v>SUD</c:v>
                </c:pt>
                <c:pt idx="1">
                  <c:v>N-E</c:v>
                </c:pt>
                <c:pt idx="2">
                  <c:v>N-O</c:v>
                </c:pt>
              </c:strCache>
            </c:strRef>
          </c:cat>
          <c:val>
            <c:numRef>
              <c:f>CTR!$C$25:$D$25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>
              <a:solidFill>
                <a:schemeClr val="accent1"/>
              </a:solidFill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CTR!$A$28</c:f>
              <c:strCache>
                <c:ptCount val="1"/>
                <c:pt idx="0">
                  <c:v>CTR refusées 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CTR!$B$25:$D$25</c:f>
              <c:strCache>
                <c:ptCount val="3"/>
                <c:pt idx="0">
                  <c:v>SUD</c:v>
                </c:pt>
                <c:pt idx="1">
                  <c:v>N-E</c:v>
                </c:pt>
                <c:pt idx="2">
                  <c:v>N-O</c:v>
                </c:pt>
              </c:strCache>
            </c:strRef>
          </c:cat>
          <c:val>
            <c:numRef>
              <c:f>CTR!$B$28:$D$28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CTR!$B$25</c:f>
              <c:strCache>
                <c:ptCount val="1"/>
                <c:pt idx="0">
                  <c:v>SUD</c:v>
                </c:pt>
              </c:strCache>
            </c:strRef>
          </c:tx>
          <c:cat>
            <c:strRef>
              <c:f>CTR!$B$25:$D$25</c:f>
              <c:strCache>
                <c:ptCount val="3"/>
                <c:pt idx="0">
                  <c:v>SUD</c:v>
                </c:pt>
                <c:pt idx="1">
                  <c:v>N-E</c:v>
                </c:pt>
                <c:pt idx="2">
                  <c:v>N-O</c:v>
                </c:pt>
              </c:strCache>
            </c:strRef>
          </c:cat>
          <c:val>
            <c:numRef>
              <c:f>CTR!$C$25:$D$25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400">
                <a:solidFill>
                  <a:schemeClr val="accent1"/>
                </a:solidFill>
              </a:rPr>
              <a:t>CTR par bassin</a:t>
            </a:r>
          </a:p>
        </c:rich>
      </c:tx>
      <c:layout>
        <c:manualLayout>
          <c:xMode val="edge"/>
          <c:yMode val="edge"/>
          <c:x val="2.2408685846528522E-2"/>
          <c:y val="4.0851348536789935E-2"/>
        </c:manualLayout>
      </c:layout>
      <c:overlay val="0"/>
      <c:spPr>
        <a:noFill/>
        <a:ln>
          <a:solidFill>
            <a:schemeClr val="accent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1.5121562128099311E-2"/>
          <c:y val="2.9110874687952253E-2"/>
          <c:w val="0.92769205885963291"/>
          <c:h val="0.8725965990984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CTR!$A$9</c:f>
              <c:strCache>
                <c:ptCount val="1"/>
                <c:pt idx="0">
                  <c:v>Nombre CTR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aseline="0">
                    <a:solidFill>
                      <a:schemeClr val="tx2"/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CTR!$B$9:$AK$9</c:f>
              <c:numCache>
                <c:formatCode>General</c:formatCode>
                <c:ptCount val="36"/>
                <c:pt idx="0">
                  <c:v>248</c:v>
                </c:pt>
                <c:pt idx="1">
                  <c:v>79</c:v>
                </c:pt>
                <c:pt idx="2">
                  <c:v>142</c:v>
                </c:pt>
                <c:pt idx="3">
                  <c:v>228</c:v>
                </c:pt>
                <c:pt idx="4">
                  <c:v>123</c:v>
                </c:pt>
                <c:pt idx="5">
                  <c:v>166</c:v>
                </c:pt>
                <c:pt idx="6">
                  <c:v>339</c:v>
                </c:pt>
                <c:pt idx="7">
                  <c:v>170</c:v>
                </c:pt>
                <c:pt idx="8">
                  <c:v>180</c:v>
                </c:pt>
              </c:numCache>
            </c:numRef>
          </c:val>
        </c:ser>
        <c:ser>
          <c:idx val="1"/>
          <c:order val="1"/>
          <c:tx>
            <c:strRef>
              <c:f>CTR!$A$10</c:f>
              <c:strCache>
                <c:ptCount val="1"/>
                <c:pt idx="0">
                  <c:v>CTR non close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aseline="0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CTR!$B$10:$AK$10</c:f>
              <c:numCache>
                <c:formatCode>General</c:formatCode>
                <c:ptCount val="36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10</c:v>
                </c:pt>
                <c:pt idx="7">
                  <c:v>1</c:v>
                </c:pt>
                <c:pt idx="8">
                  <c:v>5</c:v>
                </c:pt>
              </c:numCache>
            </c:numRef>
          </c:val>
        </c:ser>
        <c:ser>
          <c:idx val="2"/>
          <c:order val="2"/>
          <c:tx>
            <c:strRef>
              <c:f>CTR!$A$11</c:f>
              <c:strCache>
                <c:ptCount val="1"/>
                <c:pt idx="0">
                  <c:v>% CTR non close</c:v>
                </c:pt>
              </c:strCache>
            </c:strRef>
          </c:tx>
          <c:invertIfNegative val="0"/>
          <c:dLbls>
            <c:dLbl>
              <c:idx val="15"/>
              <c:layout>
                <c:manualLayout>
                  <c:x val="2.9467298530107731E-3"/>
                  <c:y val="-5.10641856709874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aseline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CTR!$B$11:$AK$11</c:f>
              <c:numCache>
                <c:formatCode>0.00%</c:formatCode>
                <c:ptCount val="36"/>
                <c:pt idx="0">
                  <c:v>4.4354838709677422E-2</c:v>
                </c:pt>
                <c:pt idx="1">
                  <c:v>5.0632911392405063E-2</c:v>
                </c:pt>
                <c:pt idx="2">
                  <c:v>1.4084507042253521E-2</c:v>
                </c:pt>
                <c:pt idx="3">
                  <c:v>8.771929824561403E-3</c:v>
                </c:pt>
                <c:pt idx="4">
                  <c:v>8.130081300813009E-3</c:v>
                </c:pt>
                <c:pt idx="5">
                  <c:v>3.614457831325301E-2</c:v>
                </c:pt>
                <c:pt idx="6">
                  <c:v>2.9498525073746312E-2</c:v>
                </c:pt>
                <c:pt idx="7">
                  <c:v>5.8823529411764705E-3</c:v>
                </c:pt>
                <c:pt idx="8">
                  <c:v>2.7777777777777776E-2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07872"/>
        <c:axId val="100609408"/>
      </c:barChart>
      <c:catAx>
        <c:axId val="10060787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1300" baseline="0"/>
            </a:pPr>
            <a:endParaRPr lang="fr-FR"/>
          </a:p>
        </c:txPr>
        <c:crossAx val="100609408"/>
        <c:crosses val="autoZero"/>
        <c:auto val="1"/>
        <c:lblAlgn val="ctr"/>
        <c:lblOffset val="100"/>
        <c:noMultiLvlLbl val="0"/>
      </c:catAx>
      <c:valAx>
        <c:axId val="100609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06078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 baseline="0"/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>
                <a:solidFill>
                  <a:schemeClr val="accent1"/>
                </a:solidFill>
              </a:rPr>
              <a:t>CTR par transporteur</a:t>
            </a:r>
          </a:p>
        </c:rich>
      </c:tx>
      <c:layout>
        <c:manualLayout>
          <c:xMode val="edge"/>
          <c:yMode val="edge"/>
          <c:x val="6.1964357507987643E-2"/>
          <c:y val="2.9920166233616492E-2"/>
        </c:manualLayout>
      </c:layout>
      <c:overlay val="1"/>
      <c:spPr>
        <a:solidFill>
          <a:sysClr val="window" lastClr="FFFFFF"/>
        </a:solidFill>
        <a:ln>
          <a:solidFill>
            <a:schemeClr val="accent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1.637605058365273E-2"/>
          <c:y val="2.0465989308314947E-2"/>
          <c:w val="0.924799129961972"/>
          <c:h val="0.850070295558229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CTR!$A$17</c:f>
              <c:strCache>
                <c:ptCount val="1"/>
                <c:pt idx="0">
                  <c:v>FRET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CTR!$B$17:$AK$17</c:f>
              <c:numCache>
                <c:formatCode>General</c:formatCode>
                <c:ptCount val="36"/>
                <c:pt idx="0">
                  <c:v>104</c:v>
                </c:pt>
                <c:pt idx="1">
                  <c:v>33</c:v>
                </c:pt>
                <c:pt idx="2">
                  <c:v>41</c:v>
                </c:pt>
                <c:pt idx="3">
                  <c:v>98</c:v>
                </c:pt>
                <c:pt idx="4">
                  <c:v>40</c:v>
                </c:pt>
                <c:pt idx="5">
                  <c:v>48</c:v>
                </c:pt>
                <c:pt idx="6">
                  <c:v>118</c:v>
                </c:pt>
                <c:pt idx="7">
                  <c:v>46</c:v>
                </c:pt>
                <c:pt idx="8">
                  <c:v>53</c:v>
                </c:pt>
              </c:numCache>
            </c:numRef>
          </c:val>
        </c:ser>
        <c:ser>
          <c:idx val="1"/>
          <c:order val="1"/>
          <c:tx>
            <c:strRef>
              <c:f>CTR!$A$18</c:f>
              <c:strCache>
                <c:ptCount val="1"/>
                <c:pt idx="0">
                  <c:v>OFI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CTR!$B$18:$AK$18</c:f>
              <c:numCache>
                <c:formatCode>General</c:formatCode>
                <c:ptCount val="36"/>
                <c:pt idx="0">
                  <c:v>105</c:v>
                </c:pt>
                <c:pt idx="1">
                  <c:v>37</c:v>
                </c:pt>
                <c:pt idx="2">
                  <c:v>56</c:v>
                </c:pt>
                <c:pt idx="3">
                  <c:v>103</c:v>
                </c:pt>
                <c:pt idx="4">
                  <c:v>69</c:v>
                </c:pt>
                <c:pt idx="5">
                  <c:v>49</c:v>
                </c:pt>
                <c:pt idx="6">
                  <c:v>136</c:v>
                </c:pt>
                <c:pt idx="7">
                  <c:v>106</c:v>
                </c:pt>
                <c:pt idx="8">
                  <c:v>70</c:v>
                </c:pt>
              </c:numCache>
            </c:numRef>
          </c:val>
        </c:ser>
        <c:ser>
          <c:idx val="2"/>
          <c:order val="2"/>
          <c:tx>
            <c:strRef>
              <c:f>CTR!$A$19</c:f>
              <c:strCache>
                <c:ptCount val="1"/>
                <c:pt idx="0">
                  <c:v>VFLI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CTR!$B$19:$AK$19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23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</c:numCache>
            </c:numRef>
          </c:val>
        </c:ser>
        <c:ser>
          <c:idx val="3"/>
          <c:order val="3"/>
          <c:tx>
            <c:strRef>
              <c:f>CTR!$A$20</c:f>
              <c:strCache>
                <c:ptCount val="1"/>
                <c:pt idx="0">
                  <c:v>GEOPARTS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CTR!$B$20:$AK$20</c:f>
              <c:numCache>
                <c:formatCode>General</c:formatCode>
                <c:ptCount val="36"/>
                <c:pt idx="0">
                  <c:v>39</c:v>
                </c:pt>
                <c:pt idx="1">
                  <c:v>9</c:v>
                </c:pt>
                <c:pt idx="2">
                  <c:v>14</c:v>
                </c:pt>
                <c:pt idx="3">
                  <c:v>27</c:v>
                </c:pt>
                <c:pt idx="4">
                  <c:v>13</c:v>
                </c:pt>
                <c:pt idx="5">
                  <c:v>42</c:v>
                </c:pt>
                <c:pt idx="6">
                  <c:v>85</c:v>
                </c:pt>
                <c:pt idx="7">
                  <c:v>18</c:v>
                </c:pt>
                <c:pt idx="8">
                  <c:v>21</c:v>
                </c:pt>
              </c:numCache>
            </c:numRef>
          </c:val>
        </c:ser>
        <c:ser>
          <c:idx val="4"/>
          <c:order val="4"/>
          <c:tx>
            <c:strRef>
              <c:f>CTR!$A$21</c:f>
              <c:strCache>
                <c:ptCount val="1"/>
                <c:pt idx="0">
                  <c:v>Autre (fournisseur)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CTR!$B$21:$AK$21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672256"/>
        <c:axId val="100673792"/>
      </c:barChart>
      <c:catAx>
        <c:axId val="10067225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0673792"/>
        <c:crosses val="autoZero"/>
        <c:auto val="1"/>
        <c:lblAlgn val="ctr"/>
        <c:lblOffset val="100"/>
        <c:noMultiLvlLbl val="0"/>
      </c:catAx>
      <c:valAx>
        <c:axId val="100673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06722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1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 Mensuel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Ballast Tot. '!$B$4</c:f>
              <c:strCache>
                <c:ptCount val="1"/>
                <c:pt idx="0">
                  <c:v>Total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'!$C$4:$N$4</c:f>
              <c:numCache>
                <c:formatCode>#,##0</c:formatCode>
                <c:ptCount val="12"/>
                <c:pt idx="0">
                  <c:v>149781</c:v>
                </c:pt>
                <c:pt idx="1">
                  <c:v>179339</c:v>
                </c:pt>
                <c:pt idx="2">
                  <c:v>150788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'!$B$5</c:f>
              <c:strCache>
                <c:ptCount val="1"/>
                <c:pt idx="0">
                  <c:v>Total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'!$C$5:$N$5</c:f>
              <c:numCache>
                <c:formatCode>#,##0</c:formatCode>
                <c:ptCount val="12"/>
                <c:pt idx="0">
                  <c:v>28280</c:v>
                </c:pt>
                <c:pt idx="1">
                  <c:v>46699</c:v>
                </c:pt>
                <c:pt idx="2">
                  <c:v>15602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'!$B$6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'!$C$6:$N$6</c:f>
              <c:numCache>
                <c:formatCode>#,##0</c:formatCode>
                <c:ptCount val="12"/>
                <c:pt idx="0">
                  <c:v>178061</c:v>
                </c:pt>
                <c:pt idx="1">
                  <c:v>226038</c:v>
                </c:pt>
                <c:pt idx="2">
                  <c:v>166390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'!$B$7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'!$C$7:$N$7</c:f>
              <c:numCache>
                <c:formatCode>#,##0</c:formatCode>
                <c:ptCount val="12"/>
                <c:pt idx="0">
                  <c:v>193300</c:v>
                </c:pt>
                <c:pt idx="1">
                  <c:v>204006</c:v>
                </c:pt>
                <c:pt idx="2">
                  <c:v>190225</c:v>
                </c:pt>
                <c:pt idx="3">
                  <c:v>191200</c:v>
                </c:pt>
                <c:pt idx="4">
                  <c:v>155790</c:v>
                </c:pt>
                <c:pt idx="5">
                  <c:v>137024</c:v>
                </c:pt>
                <c:pt idx="6">
                  <c:v>158628</c:v>
                </c:pt>
                <c:pt idx="7">
                  <c:v>143200</c:v>
                </c:pt>
                <c:pt idx="8">
                  <c:v>160735</c:v>
                </c:pt>
                <c:pt idx="9">
                  <c:v>213589</c:v>
                </c:pt>
                <c:pt idx="10">
                  <c:v>158400</c:v>
                </c:pt>
                <c:pt idx="11">
                  <c:v>54850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'!$B$8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'!$C$8:$N$8</c:f>
              <c:numCache>
                <c:formatCode>#,##0</c:formatCode>
                <c:ptCount val="12"/>
                <c:pt idx="0">
                  <c:v>193300</c:v>
                </c:pt>
                <c:pt idx="1">
                  <c:v>132706</c:v>
                </c:pt>
                <c:pt idx="2">
                  <c:v>184081</c:v>
                </c:pt>
                <c:pt idx="3">
                  <c:v>213700</c:v>
                </c:pt>
                <c:pt idx="4">
                  <c:v>139810</c:v>
                </c:pt>
                <c:pt idx="5">
                  <c:v>153170</c:v>
                </c:pt>
                <c:pt idx="6">
                  <c:v>202073</c:v>
                </c:pt>
                <c:pt idx="7">
                  <c:v>127450</c:v>
                </c:pt>
                <c:pt idx="8">
                  <c:v>145935</c:v>
                </c:pt>
                <c:pt idx="9">
                  <c:v>207243</c:v>
                </c:pt>
                <c:pt idx="10">
                  <c:v>162400</c:v>
                </c:pt>
                <c:pt idx="11">
                  <c:v>62450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40320"/>
        <c:axId val="85641856"/>
      </c:lineChart>
      <c:catAx>
        <c:axId val="8564032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85641856"/>
        <c:crosses val="autoZero"/>
        <c:auto val="1"/>
        <c:lblAlgn val="ctr"/>
        <c:lblOffset val="100"/>
        <c:noMultiLvlLbl val="0"/>
      </c:catAx>
      <c:valAx>
        <c:axId val="85641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85640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25" r="0.25" t="0.75" header="0.3" footer="0.3"/>
    <c:pageSetup paperSize="8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 Cumulé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Ballast Tot. '!$B$9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'!$C$9:$N$9</c:f>
              <c:numCache>
                <c:formatCode>#,##0</c:formatCode>
                <c:ptCount val="12"/>
                <c:pt idx="0">
                  <c:v>149781</c:v>
                </c:pt>
                <c:pt idx="1">
                  <c:v>329120</c:v>
                </c:pt>
                <c:pt idx="2">
                  <c:v>479908</c:v>
                </c:pt>
                <c:pt idx="3">
                  <c:v>479908</c:v>
                </c:pt>
                <c:pt idx="4">
                  <c:v>479908</c:v>
                </c:pt>
                <c:pt idx="5">
                  <c:v>479908</c:v>
                </c:pt>
                <c:pt idx="6">
                  <c:v>479908</c:v>
                </c:pt>
                <c:pt idx="7">
                  <c:v>479908</c:v>
                </c:pt>
                <c:pt idx="8">
                  <c:v>479908</c:v>
                </c:pt>
                <c:pt idx="9">
                  <c:v>479908</c:v>
                </c:pt>
                <c:pt idx="10">
                  <c:v>479908</c:v>
                </c:pt>
                <c:pt idx="11">
                  <c:v>479908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'!$B$10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'!$C$10:$N$10</c:f>
              <c:numCache>
                <c:formatCode>#,##0</c:formatCode>
                <c:ptCount val="12"/>
                <c:pt idx="0">
                  <c:v>28280</c:v>
                </c:pt>
                <c:pt idx="1">
                  <c:v>74979</c:v>
                </c:pt>
                <c:pt idx="2">
                  <c:v>90581</c:v>
                </c:pt>
                <c:pt idx="3">
                  <c:v>90581</c:v>
                </c:pt>
                <c:pt idx="4">
                  <c:v>90581</c:v>
                </c:pt>
                <c:pt idx="5">
                  <c:v>90581</c:v>
                </c:pt>
                <c:pt idx="6">
                  <c:v>90581</c:v>
                </c:pt>
                <c:pt idx="7">
                  <c:v>90581</c:v>
                </c:pt>
                <c:pt idx="8">
                  <c:v>90581</c:v>
                </c:pt>
                <c:pt idx="9">
                  <c:v>90581</c:v>
                </c:pt>
                <c:pt idx="10">
                  <c:v>90581</c:v>
                </c:pt>
                <c:pt idx="11">
                  <c:v>90581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'!$B$11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'!$C$11:$N$11</c:f>
              <c:numCache>
                <c:formatCode>#,##0</c:formatCode>
                <c:ptCount val="12"/>
                <c:pt idx="0">
                  <c:v>178061</c:v>
                </c:pt>
                <c:pt idx="1">
                  <c:v>404099</c:v>
                </c:pt>
                <c:pt idx="2">
                  <c:v>570489</c:v>
                </c:pt>
                <c:pt idx="3">
                  <c:v>570489</c:v>
                </c:pt>
                <c:pt idx="4">
                  <c:v>570489</c:v>
                </c:pt>
                <c:pt idx="5">
                  <c:v>570489</c:v>
                </c:pt>
                <c:pt idx="6">
                  <c:v>570489</c:v>
                </c:pt>
                <c:pt idx="7">
                  <c:v>570489</c:v>
                </c:pt>
                <c:pt idx="8">
                  <c:v>570489</c:v>
                </c:pt>
                <c:pt idx="9">
                  <c:v>570489</c:v>
                </c:pt>
                <c:pt idx="10">
                  <c:v>570489</c:v>
                </c:pt>
                <c:pt idx="11">
                  <c:v>570489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'!$B$12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'!$C$12:$N$12</c:f>
              <c:numCache>
                <c:formatCode>#,##0</c:formatCode>
                <c:ptCount val="12"/>
                <c:pt idx="0">
                  <c:v>193300</c:v>
                </c:pt>
                <c:pt idx="1">
                  <c:v>397306</c:v>
                </c:pt>
                <c:pt idx="2">
                  <c:v>587531</c:v>
                </c:pt>
                <c:pt idx="3">
                  <c:v>778731</c:v>
                </c:pt>
                <c:pt idx="4">
                  <c:v>934521</c:v>
                </c:pt>
                <c:pt idx="5">
                  <c:v>1071545</c:v>
                </c:pt>
                <c:pt idx="6">
                  <c:v>1230173</c:v>
                </c:pt>
                <c:pt idx="7">
                  <c:v>1373373</c:v>
                </c:pt>
                <c:pt idx="8">
                  <c:v>1534108</c:v>
                </c:pt>
                <c:pt idx="9">
                  <c:v>1747697</c:v>
                </c:pt>
                <c:pt idx="10">
                  <c:v>1906097</c:v>
                </c:pt>
                <c:pt idx="11">
                  <c:v>1960947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'!$B$13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'!$C$13:$N$13</c:f>
              <c:numCache>
                <c:formatCode>#,##0</c:formatCode>
                <c:ptCount val="12"/>
                <c:pt idx="0">
                  <c:v>193300</c:v>
                </c:pt>
                <c:pt idx="1">
                  <c:v>326006</c:v>
                </c:pt>
                <c:pt idx="2">
                  <c:v>510087</c:v>
                </c:pt>
                <c:pt idx="3">
                  <c:v>723787</c:v>
                </c:pt>
                <c:pt idx="4">
                  <c:v>863597</c:v>
                </c:pt>
                <c:pt idx="5">
                  <c:v>1016767</c:v>
                </c:pt>
                <c:pt idx="6">
                  <c:v>1218840</c:v>
                </c:pt>
                <c:pt idx="7">
                  <c:v>1346290</c:v>
                </c:pt>
                <c:pt idx="8">
                  <c:v>1492225</c:v>
                </c:pt>
                <c:pt idx="9">
                  <c:v>1699468</c:v>
                </c:pt>
                <c:pt idx="10">
                  <c:v>1861868</c:v>
                </c:pt>
                <c:pt idx="11">
                  <c:v>1924318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14816"/>
        <c:axId val="100528896"/>
      </c:lineChart>
      <c:catAx>
        <c:axId val="10051481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00528896"/>
        <c:crosses val="autoZero"/>
        <c:auto val="1"/>
        <c:lblAlgn val="ctr"/>
        <c:lblOffset val="100"/>
        <c:noMultiLvlLbl val="0"/>
      </c:catAx>
      <c:valAx>
        <c:axId val="100528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00514816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BALLAST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836457029825503"/>
          <c:y val="0.14332934945631795"/>
          <c:w val="0.34751056540991487"/>
          <c:h val="0.64382545931758528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Ballast Tot. '!$B$4:$B$5</c:f>
              <c:strCache>
                <c:ptCount val="2"/>
                <c:pt idx="0">
                  <c:v>Total Fer</c:v>
                </c:pt>
                <c:pt idx="1">
                  <c:v>Total Route </c:v>
                </c:pt>
              </c:strCache>
            </c:strRef>
          </c:cat>
          <c:val>
            <c:numRef>
              <c:f>'Vol. Ballast Tot. '!$O$4:$O$5</c:f>
              <c:numCache>
                <c:formatCode>#,##0</c:formatCode>
                <c:ptCount val="2"/>
                <c:pt idx="0">
                  <c:v>479908</c:v>
                </c:pt>
                <c:pt idx="1">
                  <c:v>90581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9189496355248221"/>
          <c:y val="0.86655746156730407"/>
          <c:w val="9.7548480846411684E-2"/>
          <c:h val="9.5959645669291341E-2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Volume</a:t>
            </a:r>
            <a:r>
              <a:rPr lang="fr-FR" baseline="0">
                <a:solidFill>
                  <a:schemeClr val="accent1"/>
                </a:solidFill>
              </a:rPr>
              <a:t> Total</a:t>
            </a:r>
            <a:endParaRPr lang="fr-FR">
              <a:solidFill>
                <a:schemeClr val="accent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5458739514873354E-2"/>
          <c:y val="9.2191751893082333E-2"/>
          <c:w val="0.77325129818892835"/>
          <c:h val="0.83102157057953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'Variat. Tot. + Bassins'!$B$4</c:f>
              <c:strCache>
                <c:ptCount val="1"/>
                <c:pt idx="0">
                  <c:v>Total Fer / Route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Bassins'!$C$4:$N$4</c:f>
              <c:numCache>
                <c:formatCode>#,##0</c:formatCode>
                <c:ptCount val="12"/>
                <c:pt idx="0">
                  <c:v>178061</c:v>
                </c:pt>
                <c:pt idx="1">
                  <c:v>226038</c:v>
                </c:pt>
                <c:pt idx="2">
                  <c:v>166390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'Variat. Tot. + Bassins'!$B$5</c:f>
              <c:strCache>
                <c:ptCount val="1"/>
                <c:pt idx="0">
                  <c:v>Total Fer / Route N-1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Bassins'!$C$5:$N$5</c:f>
              <c:numCache>
                <c:formatCode>#,##0</c:formatCode>
                <c:ptCount val="12"/>
                <c:pt idx="0">
                  <c:v>118110</c:v>
                </c:pt>
                <c:pt idx="1">
                  <c:v>164280</c:v>
                </c:pt>
                <c:pt idx="2">
                  <c:v>199066</c:v>
                </c:pt>
                <c:pt idx="3">
                  <c:v>184707</c:v>
                </c:pt>
                <c:pt idx="4">
                  <c:v>112977</c:v>
                </c:pt>
                <c:pt idx="5">
                  <c:v>129828</c:v>
                </c:pt>
                <c:pt idx="6">
                  <c:v>126504</c:v>
                </c:pt>
                <c:pt idx="7">
                  <c:v>120357</c:v>
                </c:pt>
                <c:pt idx="8">
                  <c:v>181348</c:v>
                </c:pt>
                <c:pt idx="9">
                  <c:v>139349</c:v>
                </c:pt>
                <c:pt idx="10">
                  <c:v>116345</c:v>
                </c:pt>
                <c:pt idx="11">
                  <c:v>86135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52288"/>
        <c:axId val="163853824"/>
      </c:barChart>
      <c:catAx>
        <c:axId val="16385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63853824"/>
        <c:crosses val="autoZero"/>
        <c:auto val="1"/>
        <c:lblAlgn val="ctr"/>
        <c:lblOffset val="100"/>
        <c:noMultiLvlLbl val="0"/>
      </c:catAx>
      <c:valAx>
        <c:axId val="1638538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3852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BASSIN SUD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'Variat. Tot. + Bassins'!$B$16</c:f>
              <c:strCache>
                <c:ptCount val="1"/>
                <c:pt idx="0">
                  <c:v>Total Fer / Route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Bassins'!$C$15:$N$15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Bassins'!$C$16:$N$16</c:f>
              <c:numCache>
                <c:formatCode>#,##0</c:formatCode>
                <c:ptCount val="12"/>
                <c:pt idx="0">
                  <c:v>64808</c:v>
                </c:pt>
                <c:pt idx="1">
                  <c:v>88205</c:v>
                </c:pt>
                <c:pt idx="2">
                  <c:v>77397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'Variat. Tot. + Bassins'!$B$17</c:f>
              <c:strCache>
                <c:ptCount val="1"/>
                <c:pt idx="0">
                  <c:v>Total Fer / Route N-1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Bassins'!$C$15:$N$15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Bassins'!$C$17:$N$17</c:f>
              <c:numCache>
                <c:formatCode>#,##0</c:formatCode>
                <c:ptCount val="12"/>
                <c:pt idx="0">
                  <c:v>48898</c:v>
                </c:pt>
                <c:pt idx="1">
                  <c:v>75060</c:v>
                </c:pt>
                <c:pt idx="2">
                  <c:v>62322</c:v>
                </c:pt>
                <c:pt idx="3">
                  <c:v>49212</c:v>
                </c:pt>
                <c:pt idx="4">
                  <c:v>36853</c:v>
                </c:pt>
                <c:pt idx="5">
                  <c:v>59555</c:v>
                </c:pt>
                <c:pt idx="6">
                  <c:v>55886</c:v>
                </c:pt>
                <c:pt idx="7">
                  <c:v>41653</c:v>
                </c:pt>
                <c:pt idx="8">
                  <c:v>74665</c:v>
                </c:pt>
                <c:pt idx="9">
                  <c:v>44440</c:v>
                </c:pt>
                <c:pt idx="10">
                  <c:v>58133</c:v>
                </c:pt>
                <c:pt idx="11">
                  <c:v>40132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087232"/>
        <c:axId val="201132288"/>
      </c:barChart>
      <c:catAx>
        <c:axId val="201087232"/>
        <c:scaling>
          <c:orientation val="minMax"/>
        </c:scaling>
        <c:delete val="0"/>
        <c:axPos val="b"/>
        <c:majorTickMark val="out"/>
        <c:minorTickMark val="none"/>
        <c:tickLblPos val="nextTo"/>
        <c:crossAx val="201132288"/>
        <c:crosses val="autoZero"/>
        <c:auto val="1"/>
        <c:lblAlgn val="ctr"/>
        <c:lblOffset val="100"/>
        <c:noMultiLvlLbl val="0"/>
      </c:catAx>
      <c:valAx>
        <c:axId val="2011322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1087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BASSIN NORD EST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'Variat. Tot. + Bassins'!$B$26</c:f>
              <c:strCache>
                <c:ptCount val="1"/>
                <c:pt idx="0">
                  <c:v>Total Fer / Route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Bassins'!$C$25:$N$25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Bassins'!$C$26:$N$26</c:f>
              <c:numCache>
                <c:formatCode>#,##0</c:formatCode>
                <c:ptCount val="12"/>
                <c:pt idx="0">
                  <c:v>41359</c:v>
                </c:pt>
                <c:pt idx="1">
                  <c:v>71687</c:v>
                </c:pt>
                <c:pt idx="2">
                  <c:v>37867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'Variat. Tot. + Bassins'!$B$27</c:f>
              <c:strCache>
                <c:ptCount val="1"/>
                <c:pt idx="0">
                  <c:v>Total Fer / Route N-1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Bassins'!$C$25:$N$25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Bassins'!$C$27:$N$27</c:f>
              <c:numCache>
                <c:formatCode>#,##0</c:formatCode>
                <c:ptCount val="12"/>
                <c:pt idx="0">
                  <c:v>29017</c:v>
                </c:pt>
                <c:pt idx="1">
                  <c:v>48986</c:v>
                </c:pt>
                <c:pt idx="2">
                  <c:v>83629</c:v>
                </c:pt>
                <c:pt idx="3">
                  <c:v>91270</c:v>
                </c:pt>
                <c:pt idx="4">
                  <c:v>55772</c:v>
                </c:pt>
                <c:pt idx="5">
                  <c:v>31632</c:v>
                </c:pt>
                <c:pt idx="6">
                  <c:v>17589</c:v>
                </c:pt>
                <c:pt idx="7">
                  <c:v>27549</c:v>
                </c:pt>
                <c:pt idx="8">
                  <c:v>48022</c:v>
                </c:pt>
                <c:pt idx="9">
                  <c:v>34703</c:v>
                </c:pt>
                <c:pt idx="10">
                  <c:v>21923</c:v>
                </c:pt>
                <c:pt idx="11">
                  <c:v>6951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65120"/>
        <c:axId val="76166656"/>
      </c:barChart>
      <c:catAx>
        <c:axId val="76165120"/>
        <c:scaling>
          <c:orientation val="minMax"/>
        </c:scaling>
        <c:delete val="0"/>
        <c:axPos val="b"/>
        <c:majorTickMark val="out"/>
        <c:minorTickMark val="none"/>
        <c:tickLblPos val="nextTo"/>
        <c:crossAx val="76166656"/>
        <c:crosses val="autoZero"/>
        <c:auto val="1"/>
        <c:lblAlgn val="ctr"/>
        <c:lblOffset val="100"/>
        <c:noMultiLvlLbl val="0"/>
      </c:catAx>
      <c:valAx>
        <c:axId val="761666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6165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BASSIN NORD OUEST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'Variat. Tot. + Bassins'!$B$36</c:f>
              <c:strCache>
                <c:ptCount val="1"/>
                <c:pt idx="0">
                  <c:v>Total Fer / Route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Bassins'!$C$35:$N$35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Bassins'!$C$36:$N$36</c:f>
              <c:numCache>
                <c:formatCode>#,##0</c:formatCode>
                <c:ptCount val="12"/>
                <c:pt idx="0">
                  <c:v>71894</c:v>
                </c:pt>
                <c:pt idx="1">
                  <c:v>66146</c:v>
                </c:pt>
                <c:pt idx="2">
                  <c:v>51126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'Variat. Tot. + Bassins'!$B$37</c:f>
              <c:strCache>
                <c:ptCount val="1"/>
                <c:pt idx="0">
                  <c:v>Total Fer / Route N-1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Bassins'!$C$35:$N$35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Bassins'!$C$37:$N$37</c:f>
              <c:numCache>
                <c:formatCode>#,##0</c:formatCode>
                <c:ptCount val="12"/>
                <c:pt idx="0">
                  <c:v>40195</c:v>
                </c:pt>
                <c:pt idx="1">
                  <c:v>40234</c:v>
                </c:pt>
                <c:pt idx="2">
                  <c:v>53115</c:v>
                </c:pt>
                <c:pt idx="3">
                  <c:v>44225</c:v>
                </c:pt>
                <c:pt idx="4">
                  <c:v>20352</c:v>
                </c:pt>
                <c:pt idx="5">
                  <c:v>38641</c:v>
                </c:pt>
                <c:pt idx="6">
                  <c:v>53029</c:v>
                </c:pt>
                <c:pt idx="7">
                  <c:v>51155</c:v>
                </c:pt>
                <c:pt idx="8">
                  <c:v>58661</c:v>
                </c:pt>
                <c:pt idx="9">
                  <c:v>60206</c:v>
                </c:pt>
                <c:pt idx="10">
                  <c:v>36289</c:v>
                </c:pt>
                <c:pt idx="11">
                  <c:v>39052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68512"/>
        <c:axId val="165571200"/>
      </c:barChart>
      <c:catAx>
        <c:axId val="165568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5571200"/>
        <c:crosses val="autoZero"/>
        <c:auto val="1"/>
        <c:lblAlgn val="ctr"/>
        <c:lblOffset val="100"/>
        <c:noMultiLvlLbl val="0"/>
      </c:catAx>
      <c:valAx>
        <c:axId val="1655712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5568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Taux de variation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5458739514873354E-2"/>
          <c:y val="9.2191751893082333E-2"/>
          <c:w val="0.77325129818892835"/>
          <c:h val="0.83102157057953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'Variat. Tot. + Bassins'!$B$6</c:f>
              <c:strCache>
                <c:ptCount val="1"/>
                <c:pt idx="0">
                  <c:v>Variation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Bassins'!$C$6:$N$6</c:f>
              <c:numCache>
                <c:formatCode>0.00%</c:formatCode>
                <c:ptCount val="12"/>
                <c:pt idx="0">
                  <c:v>-0.33668798894760782</c:v>
                </c:pt>
                <c:pt idx="1">
                  <c:v>-0.27321954715578795</c:v>
                </c:pt>
                <c:pt idx="2">
                  <c:v>0.19638199411022297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714240"/>
        <c:axId val="168719488"/>
      </c:barChart>
      <c:catAx>
        <c:axId val="168714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8719488"/>
        <c:crosses val="autoZero"/>
        <c:auto val="1"/>
        <c:lblAlgn val="ctr"/>
        <c:lblOffset val="100"/>
        <c:noMultiLvlLbl val="0"/>
      </c:catAx>
      <c:valAx>
        <c:axId val="1687194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8714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>
                <a:solidFill>
                  <a:schemeClr val="accent1"/>
                </a:solidFill>
              </a:rPr>
              <a:t>Volume ballast par bassin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7642048047526175E-2"/>
          <c:y val="6.5499922052721524E-2"/>
          <c:w val="0.91595479872860475"/>
          <c:h val="0.683775547421038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'Vol. par Bassin'!$B$24</c:f>
              <c:strCache>
                <c:ptCount val="1"/>
                <c:pt idx="0">
                  <c:v>Total Fer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'Vol. par Bassin'!$C$22:$AL$23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'Vol. par Bassin'!$C$24:$AL$24</c:f>
              <c:numCache>
                <c:formatCode>#,##0</c:formatCode>
                <c:ptCount val="36"/>
                <c:pt idx="0">
                  <c:v>48638</c:v>
                </c:pt>
                <c:pt idx="1">
                  <c:v>40637</c:v>
                </c:pt>
                <c:pt idx="2">
                  <c:v>60506</c:v>
                </c:pt>
                <c:pt idx="3">
                  <c:v>67090</c:v>
                </c:pt>
                <c:pt idx="4">
                  <c:v>55088</c:v>
                </c:pt>
                <c:pt idx="5">
                  <c:v>57161</c:v>
                </c:pt>
                <c:pt idx="6">
                  <c:v>70606</c:v>
                </c:pt>
                <c:pt idx="7">
                  <c:v>32391</c:v>
                </c:pt>
                <c:pt idx="8">
                  <c:v>47791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1"/>
          <c:tx>
            <c:strRef>
              <c:f>'Vol. par Bassin'!$B$25</c:f>
              <c:strCache>
                <c:ptCount val="1"/>
                <c:pt idx="0">
                  <c:v>Total Route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'Vol. par Bassin'!$C$22:$AL$23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'Vol. par Bassin'!$C$25:$AL$25</c:f>
              <c:numCache>
                <c:formatCode>#,##0</c:formatCode>
                <c:ptCount val="36"/>
                <c:pt idx="0">
                  <c:v>16170</c:v>
                </c:pt>
                <c:pt idx="1">
                  <c:v>722</c:v>
                </c:pt>
                <c:pt idx="2">
                  <c:v>11388</c:v>
                </c:pt>
                <c:pt idx="3">
                  <c:v>21115</c:v>
                </c:pt>
                <c:pt idx="4">
                  <c:v>16599</c:v>
                </c:pt>
                <c:pt idx="5">
                  <c:v>8985</c:v>
                </c:pt>
                <c:pt idx="6">
                  <c:v>6791</c:v>
                </c:pt>
                <c:pt idx="7">
                  <c:v>5476</c:v>
                </c:pt>
                <c:pt idx="8">
                  <c:v>3335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656128"/>
        <c:axId val="108657664"/>
      </c:barChart>
      <c:catAx>
        <c:axId val="10865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657664"/>
        <c:crosses val="autoZero"/>
        <c:auto val="1"/>
        <c:lblAlgn val="ctr"/>
        <c:lblOffset val="100"/>
        <c:noMultiLvlLbl val="0"/>
      </c:catAx>
      <c:valAx>
        <c:axId val="1086576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8656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</c:spPr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1200" baseline="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SUD Mensuel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Bassin'!$C$6,'Vol. par Bassin'!$F$6,'Vol. par Bassin'!$I$6,'Vol. par Bassin'!$L$6,'Vol. par Bassin'!$O$6,'Vol. par Bassin'!$R$6,'Vol. par Bassin'!$U$6,'Vol. par Bassin'!$X$6,'Vol. par Bassin'!$AA$6,'Vol. par Bassin'!$AD$6,'Vol. par Bassin'!$AG$6,'Vol. par Bassin'!$AJ$6)</c:f>
              <c:numCache>
                <c:formatCode>#,##0</c:formatCode>
                <c:ptCount val="12"/>
                <c:pt idx="0">
                  <c:v>48638</c:v>
                </c:pt>
                <c:pt idx="1">
                  <c:v>67090</c:v>
                </c:pt>
                <c:pt idx="2">
                  <c:v>70606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Bassin'!$C$7,'Vol. par Bassin'!$F$7,'Vol. par Bassin'!$I$7,'Vol. par Bassin'!$L$7,'Vol. par Bassin'!$O$7,'Vol. par Bassin'!$R$7,'Vol. par Bassin'!$U$7,'Vol. par Bassin'!$X$7,'Vol. par Bassin'!$AA$7,'Vol. par Bassin'!$AD$7,'Vol. par Bassin'!$AG$7,'Vol. par Bassin'!$AJ$7)</c:f>
              <c:numCache>
                <c:formatCode>#,##0</c:formatCode>
                <c:ptCount val="12"/>
                <c:pt idx="0">
                  <c:v>16170</c:v>
                </c:pt>
                <c:pt idx="1">
                  <c:v>21115</c:v>
                </c:pt>
                <c:pt idx="2">
                  <c:v>6791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Bassin'!$C$8,'Vol. par Bassin'!$F$8,'Vol. par Bassin'!$I$8,'Vol. par Bassin'!$L$8,'Vol. par Bassin'!$O$8,'Vol. par Bassin'!$R$8,'Vol. par Bassin'!$U$8,'Vol. par Bassin'!$X$8,'Vol. par Bassin'!$AA$8,'Vol. par Bassin'!$AD$8,'Vol. par Bassin'!$AG$8,'Vol. par Bassin'!$AJ$8)</c:f>
              <c:numCache>
                <c:formatCode>#,##0</c:formatCode>
                <c:ptCount val="12"/>
                <c:pt idx="0">
                  <c:v>64808</c:v>
                </c:pt>
                <c:pt idx="1">
                  <c:v>88205</c:v>
                </c:pt>
                <c:pt idx="2">
                  <c:v>77397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Bassin'!$C$9,'Vol. par Bassin'!$F$9,'Vol. par Bassin'!$I$9,'Vol. par Bassin'!$L$9,'Vol. par Bassin'!$O$9,'Vol. par Bassin'!$R$9,'Vol. par Bassin'!$U$9,'Vol. par Bassin'!$X$9,'Vol. par Bassin'!$AA$9,'Vol. par Bassin'!$AD$9,'Vol. par Bassin'!$AG$9,'Vol. par Bassin'!$AJ$9)</c:f>
              <c:numCache>
                <c:formatCode>#,##0</c:formatCode>
                <c:ptCount val="12"/>
                <c:pt idx="0">
                  <c:v>104750</c:v>
                </c:pt>
                <c:pt idx="1">
                  <c:v>106706</c:v>
                </c:pt>
                <c:pt idx="2">
                  <c:v>93350</c:v>
                </c:pt>
                <c:pt idx="3">
                  <c:v>116200</c:v>
                </c:pt>
                <c:pt idx="4">
                  <c:v>104620</c:v>
                </c:pt>
                <c:pt idx="5">
                  <c:v>73610</c:v>
                </c:pt>
                <c:pt idx="6">
                  <c:v>51449</c:v>
                </c:pt>
                <c:pt idx="7">
                  <c:v>48400</c:v>
                </c:pt>
                <c:pt idx="8">
                  <c:v>70435</c:v>
                </c:pt>
                <c:pt idx="9">
                  <c:v>92400</c:v>
                </c:pt>
                <c:pt idx="10">
                  <c:v>84600</c:v>
                </c:pt>
                <c:pt idx="11">
                  <c:v>31600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Bassin'!$C$10,'Vol. par Bassin'!$F$10,'Vol. par Bassin'!$I$10,'Vol. par Bassin'!$L$10,'Vol. par Bassin'!$O$10,'Vol. par Bassin'!$R$10,'Vol. par Bassin'!$U$10,'Vol. par Bassin'!$X$10,'Vol. par Bassin'!$AA$10,'Vol. par Bassin'!$AD$10,'Vol. par Bassin'!$AG$10,'Vol. par Bassin'!$AJ$10)</c:f>
              <c:numCache>
                <c:formatCode>#,##0</c:formatCode>
                <c:ptCount val="12"/>
                <c:pt idx="0">
                  <c:v>104750</c:v>
                </c:pt>
                <c:pt idx="1">
                  <c:v>102106</c:v>
                </c:pt>
                <c:pt idx="2">
                  <c:v>98506</c:v>
                </c:pt>
                <c:pt idx="3">
                  <c:v>133700</c:v>
                </c:pt>
                <c:pt idx="4">
                  <c:v>91440</c:v>
                </c:pt>
                <c:pt idx="5">
                  <c:v>71010</c:v>
                </c:pt>
                <c:pt idx="6">
                  <c:v>66244</c:v>
                </c:pt>
                <c:pt idx="7">
                  <c:v>45500</c:v>
                </c:pt>
                <c:pt idx="8">
                  <c:v>59935</c:v>
                </c:pt>
                <c:pt idx="9">
                  <c:v>88054</c:v>
                </c:pt>
                <c:pt idx="10">
                  <c:v>85000</c:v>
                </c:pt>
                <c:pt idx="11">
                  <c:v>36200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45088"/>
        <c:axId val="108746624"/>
      </c:lineChart>
      <c:catAx>
        <c:axId val="10874508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08746624"/>
        <c:crosses val="autoZero"/>
        <c:auto val="1"/>
        <c:lblAlgn val="ctr"/>
        <c:lblOffset val="100"/>
        <c:noMultiLvlLbl val="0"/>
      </c:catAx>
      <c:valAx>
        <c:axId val="108746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087450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SUD Cumulé</a:t>
            </a:r>
            <a:endParaRPr lang="en-US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0031539413852768"/>
          <c:y val="1.273885350318471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Bassin'!$C$13,'Vol. par Bassin'!$F$13,'Vol. par Bassin'!$I$13,'Vol. par Bassin'!$L$13,'Vol. par Bassin'!$O$13,'Vol. par Bassin'!$R$13,'Vol. par Bassin'!$U$13,'Vol. par Bassin'!$X$13,'Vol. par Bassin'!$AA$13,'Vol. par Bassin'!$AD$13,'Vol. par Bassin'!$AG$13,'Vol. par Bassin'!$AJ$13)</c:f>
              <c:numCache>
                <c:formatCode>#,##0</c:formatCode>
                <c:ptCount val="12"/>
                <c:pt idx="0">
                  <c:v>48638</c:v>
                </c:pt>
                <c:pt idx="1">
                  <c:v>115728</c:v>
                </c:pt>
                <c:pt idx="2">
                  <c:v>186334</c:v>
                </c:pt>
                <c:pt idx="3">
                  <c:v>186334</c:v>
                </c:pt>
                <c:pt idx="4">
                  <c:v>186334</c:v>
                </c:pt>
                <c:pt idx="5">
                  <c:v>186334</c:v>
                </c:pt>
                <c:pt idx="6">
                  <c:v>186334</c:v>
                </c:pt>
                <c:pt idx="7">
                  <c:v>186334</c:v>
                </c:pt>
                <c:pt idx="8">
                  <c:v>186334</c:v>
                </c:pt>
                <c:pt idx="9">
                  <c:v>186334</c:v>
                </c:pt>
                <c:pt idx="10">
                  <c:v>186334</c:v>
                </c:pt>
                <c:pt idx="11">
                  <c:v>186334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Bassin'!$C$14,'Vol. par Bassin'!$F$14,'Vol. par Bassin'!$I$14,'Vol. par Bassin'!$L$14,'Vol. par Bassin'!$O$14,'Vol. par Bassin'!$R$14,'Vol. par Bassin'!$U$14,'Vol. par Bassin'!$X$14,'Vol. par Bassin'!$AA$14,'Vol. par Bassin'!$AD$14,'Vol. par Bassin'!$AG$14,'Vol. par Bassin'!$AJ$14)</c:f>
              <c:numCache>
                <c:formatCode>#,##0</c:formatCode>
                <c:ptCount val="12"/>
                <c:pt idx="0">
                  <c:v>16170</c:v>
                </c:pt>
                <c:pt idx="1">
                  <c:v>37285</c:v>
                </c:pt>
                <c:pt idx="2">
                  <c:v>44076</c:v>
                </c:pt>
                <c:pt idx="3">
                  <c:v>44076</c:v>
                </c:pt>
                <c:pt idx="4">
                  <c:v>44076</c:v>
                </c:pt>
                <c:pt idx="5">
                  <c:v>44076</c:v>
                </c:pt>
                <c:pt idx="6">
                  <c:v>44076</c:v>
                </c:pt>
                <c:pt idx="7">
                  <c:v>44076</c:v>
                </c:pt>
                <c:pt idx="8">
                  <c:v>44076</c:v>
                </c:pt>
                <c:pt idx="9">
                  <c:v>44076</c:v>
                </c:pt>
                <c:pt idx="10">
                  <c:v>44076</c:v>
                </c:pt>
                <c:pt idx="11">
                  <c:v>44076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Bassin'!$C$15,'Vol. par Bassin'!$F$15,'Vol. par Bassin'!$I$15,'Vol. par Bassin'!$L$15,'Vol. par Bassin'!$O$15,'Vol. par Bassin'!$R$15,'Vol. par Bassin'!$U$15,'Vol. par Bassin'!$X$15,'Vol. par Bassin'!$AA$15,'Vol. par Bassin'!$AD$15,'Vol. par Bassin'!$AG$15,'Vol. par Bassin'!$AJ$15)</c:f>
              <c:numCache>
                <c:formatCode>#,##0</c:formatCode>
                <c:ptCount val="12"/>
                <c:pt idx="0">
                  <c:v>64808</c:v>
                </c:pt>
                <c:pt idx="1">
                  <c:v>153013</c:v>
                </c:pt>
                <c:pt idx="2">
                  <c:v>230410</c:v>
                </c:pt>
                <c:pt idx="3">
                  <c:v>230410</c:v>
                </c:pt>
                <c:pt idx="4">
                  <c:v>230410</c:v>
                </c:pt>
                <c:pt idx="5">
                  <c:v>230410</c:v>
                </c:pt>
                <c:pt idx="6">
                  <c:v>230410</c:v>
                </c:pt>
                <c:pt idx="7">
                  <c:v>230410</c:v>
                </c:pt>
                <c:pt idx="8">
                  <c:v>230410</c:v>
                </c:pt>
                <c:pt idx="9">
                  <c:v>230410</c:v>
                </c:pt>
                <c:pt idx="10">
                  <c:v>230410</c:v>
                </c:pt>
                <c:pt idx="11">
                  <c:v>230410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Bassin'!$C$16,'Vol. par Bassin'!$F$16,'Vol. par Bassin'!$I$16,'Vol. par Bassin'!$L$16,'Vol. par Bassin'!$O$16,'Vol. par Bassin'!$R$16,'Vol. par Bassin'!$U$16,'Vol. par Bassin'!$X$16,'Vol. par Bassin'!$AA$16,'Vol. par Bassin'!$AD$16,'Vol. par Bassin'!$AG$16,'Vol. par Bassin'!$AJ$16)</c:f>
              <c:numCache>
                <c:formatCode>#,##0</c:formatCode>
                <c:ptCount val="12"/>
                <c:pt idx="0">
                  <c:v>104750</c:v>
                </c:pt>
                <c:pt idx="1">
                  <c:v>211456</c:v>
                </c:pt>
                <c:pt idx="2">
                  <c:v>304806</c:v>
                </c:pt>
                <c:pt idx="3">
                  <c:v>421006</c:v>
                </c:pt>
                <c:pt idx="4">
                  <c:v>525626</c:v>
                </c:pt>
                <c:pt idx="5">
                  <c:v>599236</c:v>
                </c:pt>
                <c:pt idx="6">
                  <c:v>650685</c:v>
                </c:pt>
                <c:pt idx="7">
                  <c:v>699085</c:v>
                </c:pt>
                <c:pt idx="8">
                  <c:v>769520</c:v>
                </c:pt>
                <c:pt idx="9">
                  <c:v>861920</c:v>
                </c:pt>
                <c:pt idx="10">
                  <c:v>946520</c:v>
                </c:pt>
                <c:pt idx="11">
                  <c:v>978120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Bassin'!$C$17,'Vol. par Bassin'!$F$17,'Vol. par Bassin'!$I$17,'Vol. par Bassin'!$L$17,'Vol. par Bassin'!$O$17,'Vol. par Bassin'!$R$17,'Vol. par Bassin'!$U$17,'Vol. par Bassin'!$X$17,'Vol. par Bassin'!$AA$17,'Vol. par Bassin'!$AD$17,'Vol. par Bassin'!$AG$17,'Vol. par Bassin'!$AJ$17)</c:f>
              <c:numCache>
                <c:formatCode>#,##0</c:formatCode>
                <c:ptCount val="12"/>
                <c:pt idx="0">
                  <c:v>104750</c:v>
                </c:pt>
                <c:pt idx="1">
                  <c:v>206856</c:v>
                </c:pt>
                <c:pt idx="2">
                  <c:v>305362</c:v>
                </c:pt>
                <c:pt idx="3">
                  <c:v>439062</c:v>
                </c:pt>
                <c:pt idx="4">
                  <c:v>530502</c:v>
                </c:pt>
                <c:pt idx="5">
                  <c:v>601512</c:v>
                </c:pt>
                <c:pt idx="6">
                  <c:v>667756</c:v>
                </c:pt>
                <c:pt idx="7">
                  <c:v>713256</c:v>
                </c:pt>
                <c:pt idx="8">
                  <c:v>773191</c:v>
                </c:pt>
                <c:pt idx="9">
                  <c:v>861245</c:v>
                </c:pt>
                <c:pt idx="10">
                  <c:v>946245</c:v>
                </c:pt>
                <c:pt idx="11">
                  <c:v>982445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08832"/>
        <c:axId val="108814720"/>
      </c:lineChart>
      <c:catAx>
        <c:axId val="10880883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08814720"/>
        <c:crosses val="autoZero"/>
        <c:auto val="1"/>
        <c:lblAlgn val="ctr"/>
        <c:lblOffset val="100"/>
        <c:noMultiLvlLbl val="0"/>
      </c:catAx>
      <c:valAx>
        <c:axId val="108814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08808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BASSIN SUD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766216415069761"/>
          <c:y val="0.17215372330770323"/>
          <c:w val="0.40268070259639965"/>
          <c:h val="0.6229849948182451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par Bassin'!$B$13:$B$14</c:f>
              <c:strCache>
                <c:ptCount val="2"/>
                <c:pt idx="0">
                  <c:v>Cumul Fer</c:v>
                </c:pt>
                <c:pt idx="1">
                  <c:v>Cumul Route</c:v>
                </c:pt>
              </c:strCache>
            </c:strRef>
          </c:cat>
          <c:val>
            <c:numRef>
              <c:f>'Vol. par Bassin'!$AJ$13:$AJ$14</c:f>
              <c:numCache>
                <c:formatCode>#,##0</c:formatCode>
                <c:ptCount val="2"/>
                <c:pt idx="0">
                  <c:v>186334</c:v>
                </c:pt>
                <c:pt idx="1">
                  <c:v>44076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41639100000000001"/>
          <c:y val="0.84730376344086022"/>
          <c:w val="9.8290555555555562E-2"/>
          <c:h val="8.231290322580645E-2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NORD EST Mensuel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Bassin'!$D$6,'Vol. par Bassin'!$G$6,'Vol. par Bassin'!$J$6,'Vol. par Bassin'!$M$6,'Vol. par Bassin'!$P$6,'Vol. par Bassin'!$S$6,'Vol. par Bassin'!$V$6,'Vol. par Bassin'!$Y$6,'Vol. par Bassin'!$AB$6,'Vol. par Bassin'!$AE$6,'Vol. par Bassin'!$AH$6,'Vol. par Bassin'!$AK$6)</c:f>
              <c:numCache>
                <c:formatCode>#,##0</c:formatCode>
                <c:ptCount val="12"/>
                <c:pt idx="0">
                  <c:v>40637</c:v>
                </c:pt>
                <c:pt idx="1">
                  <c:v>55088</c:v>
                </c:pt>
                <c:pt idx="2">
                  <c:v>32391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Bassin'!$D$7,'Vol. par Bassin'!$G$7,'Vol. par Bassin'!$J$7,'Vol. par Bassin'!$M$7,'Vol. par Bassin'!$P$7,'Vol. par Bassin'!$S$7,'Vol. par Bassin'!$V$7,'Vol. par Bassin'!$Y$7,'Vol. par Bassin'!$AB$7,'Vol. par Bassin'!$AE$7,'Vol. par Bassin'!$AH$7,'Vol. par Bassin'!$AK$7)</c:f>
              <c:numCache>
                <c:formatCode>#,##0</c:formatCode>
                <c:ptCount val="12"/>
                <c:pt idx="0">
                  <c:v>722</c:v>
                </c:pt>
                <c:pt idx="1">
                  <c:v>16599</c:v>
                </c:pt>
                <c:pt idx="2">
                  <c:v>5476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Bassin'!$D$8,'Vol. par Bassin'!$G$8,'Vol. par Bassin'!$J$8,'Vol. par Bassin'!$M$8,'Vol. par Bassin'!$P$8,'Vol. par Bassin'!$S$8,'Vol. par Bassin'!$V$8,'Vol. par Bassin'!$Y$8,'Vol. par Bassin'!$AB$8,'Vol. par Bassin'!$AE$8,'Vol. par Bassin'!$AH$8,'Vol. par Bassin'!$AK$8)</c:f>
              <c:numCache>
                <c:formatCode>#,##0</c:formatCode>
                <c:ptCount val="12"/>
                <c:pt idx="0">
                  <c:v>41359</c:v>
                </c:pt>
                <c:pt idx="1">
                  <c:v>71687</c:v>
                </c:pt>
                <c:pt idx="2">
                  <c:v>37867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Bassin'!$D$9,'Vol. par Bassin'!$G$9,'Vol. par Bassin'!$J$9,'Vol. par Bassin'!$M$9,'Vol. par Bassin'!$P$9,'Vol. par Bassin'!$S$9,'Vol. par Bassin'!$V$9,'Vol. par Bassin'!$Y$9,'Vol. par Bassin'!$AB$9,'Vol. par Bassin'!$AE$9,'Vol. par Bassin'!$AH$9,'Vol. par Bassin'!$AK$9)</c:f>
              <c:numCache>
                <c:formatCode>#,##0</c:formatCode>
                <c:ptCount val="12"/>
                <c:pt idx="0">
                  <c:v>32200</c:v>
                </c:pt>
                <c:pt idx="1">
                  <c:v>41400</c:v>
                </c:pt>
                <c:pt idx="2">
                  <c:v>39950</c:v>
                </c:pt>
                <c:pt idx="3">
                  <c:v>20500</c:v>
                </c:pt>
                <c:pt idx="4">
                  <c:v>15400</c:v>
                </c:pt>
                <c:pt idx="5">
                  <c:v>19000</c:v>
                </c:pt>
                <c:pt idx="6">
                  <c:v>52431</c:v>
                </c:pt>
                <c:pt idx="7">
                  <c:v>64200</c:v>
                </c:pt>
                <c:pt idx="8">
                  <c:v>54600</c:v>
                </c:pt>
                <c:pt idx="9">
                  <c:v>59350</c:v>
                </c:pt>
                <c:pt idx="10">
                  <c:v>37000</c:v>
                </c:pt>
                <c:pt idx="11">
                  <c:v>4350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Bassin'!$D$10,'Vol. par Bassin'!$G$10,'Vol. par Bassin'!$J$10,'Vol. par Bassin'!$M$10,'Vol. par Bassin'!$P$10,'Vol. par Bassin'!$S$10,'Vol. par Bassin'!$V$10,'Vol. par Bassin'!$Y$10,'Vol. par Bassin'!$AB$10,'Vol. par Bassin'!$AE$10,'Vol. par Bassin'!$AH$10,'Vol. par Bassin'!$AK$10)</c:f>
              <c:numCache>
                <c:formatCode>#,##0</c:formatCode>
                <c:ptCount val="12"/>
                <c:pt idx="0">
                  <c:v>32200</c:v>
                </c:pt>
                <c:pt idx="1">
                  <c:v>19700</c:v>
                </c:pt>
                <c:pt idx="2">
                  <c:v>27950</c:v>
                </c:pt>
                <c:pt idx="3">
                  <c:v>32000</c:v>
                </c:pt>
                <c:pt idx="4">
                  <c:v>12000</c:v>
                </c:pt>
                <c:pt idx="5">
                  <c:v>30500</c:v>
                </c:pt>
                <c:pt idx="6">
                  <c:v>82631</c:v>
                </c:pt>
                <c:pt idx="7">
                  <c:v>53850</c:v>
                </c:pt>
                <c:pt idx="8">
                  <c:v>44600</c:v>
                </c:pt>
                <c:pt idx="9">
                  <c:v>55450</c:v>
                </c:pt>
                <c:pt idx="10">
                  <c:v>36600</c:v>
                </c:pt>
                <c:pt idx="11">
                  <c:v>4350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93024"/>
        <c:axId val="109394560"/>
      </c:lineChart>
      <c:catAx>
        <c:axId val="10939302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09394560"/>
        <c:crosses val="autoZero"/>
        <c:auto val="1"/>
        <c:lblAlgn val="ctr"/>
        <c:lblOffset val="100"/>
        <c:noMultiLvlLbl val="0"/>
      </c:catAx>
      <c:valAx>
        <c:axId val="109394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093930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NORD EST Cumulé</a:t>
            </a:r>
            <a:endParaRPr lang="en-US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38868745772323798"/>
          <c:y val="1.486199575371549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Bassin'!$D$13,'Vol. par Bassin'!$G$13,'Vol. par Bassin'!$J$13,'Vol. par Bassin'!$M$13,'Vol. par Bassin'!$P$13,'Vol. par Bassin'!$S$13,'Vol. par Bassin'!$V$13,'Vol. par Bassin'!$Y$13,'Vol. par Bassin'!$AB$13,'Vol. par Bassin'!$AE$13,'Vol. par Bassin'!$AH$13,'Vol. par Bassin'!$AK$13)</c:f>
              <c:numCache>
                <c:formatCode>#,##0</c:formatCode>
                <c:ptCount val="12"/>
                <c:pt idx="0">
                  <c:v>40637</c:v>
                </c:pt>
                <c:pt idx="1">
                  <c:v>95725</c:v>
                </c:pt>
                <c:pt idx="2">
                  <c:v>128116</c:v>
                </c:pt>
                <c:pt idx="3">
                  <c:v>128116</c:v>
                </c:pt>
                <c:pt idx="4">
                  <c:v>128116</c:v>
                </c:pt>
                <c:pt idx="5">
                  <c:v>128116</c:v>
                </c:pt>
                <c:pt idx="6">
                  <c:v>128116</c:v>
                </c:pt>
                <c:pt idx="7">
                  <c:v>128116</c:v>
                </c:pt>
                <c:pt idx="8">
                  <c:v>128116</c:v>
                </c:pt>
                <c:pt idx="9">
                  <c:v>128116</c:v>
                </c:pt>
                <c:pt idx="10">
                  <c:v>128116</c:v>
                </c:pt>
                <c:pt idx="11">
                  <c:v>128116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Bassin'!$D$14,'Vol. par Bassin'!$G$14,'Vol. par Bassin'!$J$14,'Vol. par Bassin'!$M$14,'Vol. par Bassin'!$P$14,'Vol. par Bassin'!$S$14,'Vol. par Bassin'!$V$14,'Vol. par Bassin'!$Y$14,'Vol. par Bassin'!$AB$14,'Vol. par Bassin'!$AE$14,'Vol. par Bassin'!$AH$14,'Vol. par Bassin'!$AK$14)</c:f>
              <c:numCache>
                <c:formatCode>#,##0</c:formatCode>
                <c:ptCount val="12"/>
                <c:pt idx="0">
                  <c:v>722</c:v>
                </c:pt>
                <c:pt idx="1">
                  <c:v>17321</c:v>
                </c:pt>
                <c:pt idx="2">
                  <c:v>22797</c:v>
                </c:pt>
                <c:pt idx="3">
                  <c:v>22797</c:v>
                </c:pt>
                <c:pt idx="4">
                  <c:v>22797</c:v>
                </c:pt>
                <c:pt idx="5">
                  <c:v>22797</c:v>
                </c:pt>
                <c:pt idx="6">
                  <c:v>22797</c:v>
                </c:pt>
                <c:pt idx="7">
                  <c:v>22797</c:v>
                </c:pt>
                <c:pt idx="8">
                  <c:v>22797</c:v>
                </c:pt>
                <c:pt idx="9">
                  <c:v>22797</c:v>
                </c:pt>
                <c:pt idx="10">
                  <c:v>22797</c:v>
                </c:pt>
                <c:pt idx="11">
                  <c:v>22797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Bassin'!$D$15,'Vol. par Bassin'!$G$15,'Vol. par Bassin'!$J$15,'Vol. par Bassin'!$M$15,'Vol. par Bassin'!$P$15,'Vol. par Bassin'!$S$15,'Vol. par Bassin'!$V$15,'Vol. par Bassin'!$Y$15,'Vol. par Bassin'!$AB$15,'Vol. par Bassin'!$AE$15,'Vol. par Bassin'!$AH$15,'Vol. par Bassin'!$AK$15)</c:f>
              <c:numCache>
                <c:formatCode>#,##0</c:formatCode>
                <c:ptCount val="12"/>
                <c:pt idx="0">
                  <c:v>41359</c:v>
                </c:pt>
                <c:pt idx="1">
                  <c:v>113046</c:v>
                </c:pt>
                <c:pt idx="2">
                  <c:v>150913</c:v>
                </c:pt>
                <c:pt idx="3">
                  <c:v>150913</c:v>
                </c:pt>
                <c:pt idx="4">
                  <c:v>150913</c:v>
                </c:pt>
                <c:pt idx="5">
                  <c:v>150913</c:v>
                </c:pt>
                <c:pt idx="6">
                  <c:v>150913</c:v>
                </c:pt>
                <c:pt idx="7">
                  <c:v>150913</c:v>
                </c:pt>
                <c:pt idx="8">
                  <c:v>150913</c:v>
                </c:pt>
                <c:pt idx="9">
                  <c:v>150913</c:v>
                </c:pt>
                <c:pt idx="10">
                  <c:v>150913</c:v>
                </c:pt>
                <c:pt idx="11">
                  <c:v>150913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Bassin'!$D$16,'Vol. par Bassin'!$G$16,'Vol. par Bassin'!$J$16,'Vol. par Bassin'!$M$16,'Vol. par Bassin'!$P$16,'Vol. par Bassin'!$S$16,'Vol. par Bassin'!$V$16,'Vol. par Bassin'!$Y$16,'Vol. par Bassin'!$AB$16,'Vol. par Bassin'!$AE$16,'Vol. par Bassin'!$AH$16,'Vol. par Bassin'!$AK$16)</c:f>
              <c:numCache>
                <c:formatCode>#,##0</c:formatCode>
                <c:ptCount val="12"/>
                <c:pt idx="0">
                  <c:v>32200</c:v>
                </c:pt>
                <c:pt idx="1">
                  <c:v>73600</c:v>
                </c:pt>
                <c:pt idx="2">
                  <c:v>113550</c:v>
                </c:pt>
                <c:pt idx="3">
                  <c:v>134050</c:v>
                </c:pt>
                <c:pt idx="4">
                  <c:v>149450</c:v>
                </c:pt>
                <c:pt idx="5">
                  <c:v>168450</c:v>
                </c:pt>
                <c:pt idx="6">
                  <c:v>220881</c:v>
                </c:pt>
                <c:pt idx="7">
                  <c:v>285081</c:v>
                </c:pt>
                <c:pt idx="8">
                  <c:v>339681</c:v>
                </c:pt>
                <c:pt idx="9">
                  <c:v>399031</c:v>
                </c:pt>
                <c:pt idx="10">
                  <c:v>436031</c:v>
                </c:pt>
                <c:pt idx="11">
                  <c:v>440381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Bassin'!$D$17,'Vol. par Bassin'!$G$17,'Vol. par Bassin'!$J$17,'Vol. par Bassin'!$M$17,'Vol. par Bassin'!$P$17,'Vol. par Bassin'!$S$17,'Vol. par Bassin'!$V$17,'Vol. par Bassin'!$Y$17,'Vol. par Bassin'!$AB$17,'Vol. par Bassin'!$AE$17,'Vol. par Bassin'!$AH$17,'Vol. par Bassin'!$AK$17)</c:f>
              <c:numCache>
                <c:formatCode>#,##0</c:formatCode>
                <c:ptCount val="12"/>
                <c:pt idx="0">
                  <c:v>32200</c:v>
                </c:pt>
                <c:pt idx="1">
                  <c:v>51900</c:v>
                </c:pt>
                <c:pt idx="2">
                  <c:v>79850</c:v>
                </c:pt>
                <c:pt idx="3">
                  <c:v>111850</c:v>
                </c:pt>
                <c:pt idx="4">
                  <c:v>123850</c:v>
                </c:pt>
                <c:pt idx="5">
                  <c:v>154350</c:v>
                </c:pt>
                <c:pt idx="6">
                  <c:v>236981</c:v>
                </c:pt>
                <c:pt idx="7">
                  <c:v>290831</c:v>
                </c:pt>
                <c:pt idx="8">
                  <c:v>335431</c:v>
                </c:pt>
                <c:pt idx="9">
                  <c:v>390881</c:v>
                </c:pt>
                <c:pt idx="10">
                  <c:v>427481</c:v>
                </c:pt>
                <c:pt idx="11">
                  <c:v>431831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44480"/>
        <c:axId val="109847680"/>
      </c:lineChart>
      <c:catAx>
        <c:axId val="10944448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09847680"/>
        <c:crosses val="autoZero"/>
        <c:auto val="1"/>
        <c:lblAlgn val="ctr"/>
        <c:lblOffset val="100"/>
        <c:noMultiLvlLbl val="0"/>
      </c:catAx>
      <c:valAx>
        <c:axId val="109847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094444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BASSIN NORD</a:t>
            </a:r>
            <a:r>
              <a:rPr lang="fr-FR" baseline="0">
                <a:solidFill>
                  <a:schemeClr val="accent1"/>
                </a:solidFill>
              </a:rPr>
              <a:t> </a:t>
            </a:r>
            <a:r>
              <a:rPr lang="fr-FR">
                <a:solidFill>
                  <a:schemeClr val="accent1"/>
                </a:solidFill>
              </a:rPr>
              <a:t>EST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66158888888889"/>
          <c:y val="0.13494055555555556"/>
          <c:w val="0.39157933333333333"/>
          <c:h val="0.65263222222222217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par Bassin'!$B$13:$B$14</c:f>
              <c:strCache>
                <c:ptCount val="2"/>
                <c:pt idx="0">
                  <c:v>Cumul Fer</c:v>
                </c:pt>
                <c:pt idx="1">
                  <c:v>Cumul Route</c:v>
                </c:pt>
              </c:strCache>
            </c:strRef>
          </c:cat>
          <c:val>
            <c:numRef>
              <c:f>'Vol. par Bassin'!$AK$13:$AK$14</c:f>
              <c:numCache>
                <c:formatCode>#,##0</c:formatCode>
                <c:ptCount val="2"/>
                <c:pt idx="0">
                  <c:v>128116</c:v>
                </c:pt>
                <c:pt idx="1">
                  <c:v>22797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41921322222222224"/>
          <c:y val="0.83250981481481479"/>
          <c:w val="9.8290555555555562E-2"/>
          <c:h val="8.5056666666666669E-2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NORD OUEST Mensuel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Bassin'!$E$6,'Vol. par Bassin'!$H$6,'Vol. par Bassin'!$K$6,'Vol. par Bassin'!$N$6,'Vol. par Bassin'!$Q$6,'Vol. par Bassin'!$T$6,'Vol. par Bassin'!$W$6,'Vol. par Bassin'!$Z$6,'Vol. par Bassin'!$AC$6,'Vol. par Bassin'!$AF$6,'Vol. par Bassin'!$AI$6,'Vol. par Bassin'!$AL$6)</c:f>
              <c:numCache>
                <c:formatCode>#,##0</c:formatCode>
                <c:ptCount val="12"/>
                <c:pt idx="0">
                  <c:v>60506</c:v>
                </c:pt>
                <c:pt idx="1">
                  <c:v>57161</c:v>
                </c:pt>
                <c:pt idx="2">
                  <c:v>47791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Bassin'!$E$7,'Vol. par Bassin'!$H$7,'Vol. par Bassin'!$K$7,'Vol. par Bassin'!$N$7,'Vol. par Bassin'!$Q$7,'Vol. par Bassin'!$T$7,'Vol. par Bassin'!$W$7,'Vol. par Bassin'!$Z$7,'Vol. par Bassin'!$AC$7,'Vol. par Bassin'!$AF$7,'Vol. par Bassin'!$AI$7,'Vol. par Bassin'!$AL$7)</c:f>
              <c:numCache>
                <c:formatCode>#,##0</c:formatCode>
                <c:ptCount val="12"/>
                <c:pt idx="0">
                  <c:v>11388</c:v>
                </c:pt>
                <c:pt idx="1">
                  <c:v>8985</c:v>
                </c:pt>
                <c:pt idx="2">
                  <c:v>3335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Bassin'!$E$8,'Vol. par Bassin'!$H$8,'Vol. par Bassin'!$K$8,'Vol. par Bassin'!$N$8,'Vol. par Bassin'!$Q$8,'Vol. par Bassin'!$T$8,'Vol. par Bassin'!$W$8,'Vol. par Bassin'!$Z$8,'Vol. par Bassin'!$AC$8,'Vol. par Bassin'!$AF$8,'Vol. par Bassin'!$AI$8,'Vol. par Bassin'!$AL$8)</c:f>
              <c:numCache>
                <c:formatCode>#,##0</c:formatCode>
                <c:ptCount val="12"/>
                <c:pt idx="0">
                  <c:v>71894</c:v>
                </c:pt>
                <c:pt idx="1">
                  <c:v>66146</c:v>
                </c:pt>
                <c:pt idx="2">
                  <c:v>51126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Bassin'!$E$9,'Vol. par Bassin'!$H$9,'Vol. par Bassin'!$K$9,'Vol. par Bassin'!$N$9,'Vol. par Bassin'!$Q$9,'Vol. par Bassin'!$T$9,'Vol. par Bassin'!$W$9,'Vol. par Bassin'!$Z$9,'Vol. par Bassin'!$AC$9,'Vol. par Bassin'!$AF$9,'Vol. par Bassin'!$AI$9,'Vol. par Bassin'!$AL$9)</c:f>
              <c:numCache>
                <c:formatCode>#,##0</c:formatCode>
                <c:ptCount val="12"/>
                <c:pt idx="0">
                  <c:v>56350</c:v>
                </c:pt>
                <c:pt idx="1">
                  <c:v>55900</c:v>
                </c:pt>
                <c:pt idx="2">
                  <c:v>56925</c:v>
                </c:pt>
                <c:pt idx="3">
                  <c:v>54500</c:v>
                </c:pt>
                <c:pt idx="4">
                  <c:v>35770</c:v>
                </c:pt>
                <c:pt idx="5">
                  <c:v>44414</c:v>
                </c:pt>
                <c:pt idx="6">
                  <c:v>54748</c:v>
                </c:pt>
                <c:pt idx="7">
                  <c:v>30600</c:v>
                </c:pt>
                <c:pt idx="8">
                  <c:v>35700</c:v>
                </c:pt>
                <c:pt idx="9">
                  <c:v>61839</c:v>
                </c:pt>
                <c:pt idx="10">
                  <c:v>36800</c:v>
                </c:pt>
                <c:pt idx="11">
                  <c:v>18900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Bassin'!$E$10,'Vol. par Bassin'!$H$10,'Vol. par Bassin'!$K$10,'Vol. par Bassin'!$N$10,'Vol. par Bassin'!$Q$10,'Vol. par Bassin'!$T$10,'Vol. par Bassin'!$W$10,'Vol. par Bassin'!$Z$10,'Vol. par Bassin'!$AC$10,'Vol. par Bassin'!$AF$10,'Vol. par Bassin'!$AI$10,'Vol. par Bassin'!$AL$10)</c:f>
              <c:numCache>
                <c:formatCode>#,##0</c:formatCode>
                <c:ptCount val="12"/>
                <c:pt idx="0">
                  <c:v>56350</c:v>
                </c:pt>
                <c:pt idx="1">
                  <c:v>10900</c:v>
                </c:pt>
                <c:pt idx="2">
                  <c:v>57625</c:v>
                </c:pt>
                <c:pt idx="3">
                  <c:v>48000</c:v>
                </c:pt>
                <c:pt idx="4">
                  <c:v>36370</c:v>
                </c:pt>
                <c:pt idx="5">
                  <c:v>51660</c:v>
                </c:pt>
                <c:pt idx="6">
                  <c:v>53198</c:v>
                </c:pt>
                <c:pt idx="7">
                  <c:v>28100</c:v>
                </c:pt>
                <c:pt idx="8">
                  <c:v>41400</c:v>
                </c:pt>
                <c:pt idx="9">
                  <c:v>63739</c:v>
                </c:pt>
                <c:pt idx="10">
                  <c:v>40800</c:v>
                </c:pt>
                <c:pt idx="11">
                  <c:v>21900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74304"/>
        <c:axId val="96275840"/>
      </c:lineChart>
      <c:catAx>
        <c:axId val="9627430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96275840"/>
        <c:crosses val="autoZero"/>
        <c:auto val="1"/>
        <c:lblAlgn val="ctr"/>
        <c:lblOffset val="100"/>
        <c:noMultiLvlLbl val="0"/>
      </c:catAx>
      <c:valAx>
        <c:axId val="96275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6274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NORD OUEST Cumulé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Bassin'!$E$13,'Vol. par Bassin'!$H$13,'Vol. par Bassin'!$K$13,'Vol. par Bassin'!$N$13,'Vol. par Bassin'!$Q$13,'Vol. par Bassin'!$T$13,'Vol. par Bassin'!$W$13,'Vol. par Bassin'!$Z$13,'Vol. par Bassin'!$AC$13,'Vol. par Bassin'!$AF$13,'Vol. par Bassin'!$AI$13,'Vol. par Bassin'!$AL$13)</c:f>
              <c:numCache>
                <c:formatCode>#,##0</c:formatCode>
                <c:ptCount val="12"/>
                <c:pt idx="0">
                  <c:v>60506</c:v>
                </c:pt>
                <c:pt idx="1">
                  <c:v>117667</c:v>
                </c:pt>
                <c:pt idx="2">
                  <c:v>165458</c:v>
                </c:pt>
                <c:pt idx="3">
                  <c:v>165458</c:v>
                </c:pt>
                <c:pt idx="4">
                  <c:v>165458</c:v>
                </c:pt>
                <c:pt idx="5">
                  <c:v>165458</c:v>
                </c:pt>
                <c:pt idx="6">
                  <c:v>165458</c:v>
                </c:pt>
                <c:pt idx="7">
                  <c:v>165458</c:v>
                </c:pt>
                <c:pt idx="8">
                  <c:v>165458</c:v>
                </c:pt>
                <c:pt idx="9">
                  <c:v>165458</c:v>
                </c:pt>
                <c:pt idx="10">
                  <c:v>165458</c:v>
                </c:pt>
                <c:pt idx="11">
                  <c:v>165458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Bassin'!$E$14,'Vol. par Bassin'!$H$14,'Vol. par Bassin'!$K$14,'Vol. par Bassin'!$N$14,'Vol. par Bassin'!$Q$14,'Vol. par Bassin'!$T$14,'Vol. par Bassin'!$W$14,'Vol. par Bassin'!$Z$14,'Vol. par Bassin'!$AC$14,'Vol. par Bassin'!$AF$14,'Vol. par Bassin'!$AI$14,'Vol. par Bassin'!$AL$14)</c:f>
              <c:numCache>
                <c:formatCode>#,##0</c:formatCode>
                <c:ptCount val="12"/>
                <c:pt idx="0">
                  <c:v>11388</c:v>
                </c:pt>
                <c:pt idx="1">
                  <c:v>20373</c:v>
                </c:pt>
                <c:pt idx="2">
                  <c:v>23708</c:v>
                </c:pt>
                <c:pt idx="3">
                  <c:v>23708</c:v>
                </c:pt>
                <c:pt idx="4">
                  <c:v>23708</c:v>
                </c:pt>
                <c:pt idx="5">
                  <c:v>23708</c:v>
                </c:pt>
                <c:pt idx="6">
                  <c:v>23708</c:v>
                </c:pt>
                <c:pt idx="7">
                  <c:v>23708</c:v>
                </c:pt>
                <c:pt idx="8">
                  <c:v>23708</c:v>
                </c:pt>
                <c:pt idx="9">
                  <c:v>23708</c:v>
                </c:pt>
                <c:pt idx="10">
                  <c:v>23708</c:v>
                </c:pt>
                <c:pt idx="11">
                  <c:v>23708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Bassin'!$E$15,'Vol. par Bassin'!$H$15,'Vol. par Bassin'!$K$15,'Vol. par Bassin'!$N$15,'Vol. par Bassin'!$Q$15,'Vol. par Bassin'!$T$15,'Vol. par Bassin'!$W$15,'Vol. par Bassin'!$Z$15,'Vol. par Bassin'!$AC$15,'Vol. par Bassin'!$AF$15,'Vol. par Bassin'!$AI$15,'Vol. par Bassin'!$AL$15)</c:f>
              <c:numCache>
                <c:formatCode>#,##0</c:formatCode>
                <c:ptCount val="12"/>
                <c:pt idx="0">
                  <c:v>71894</c:v>
                </c:pt>
                <c:pt idx="1">
                  <c:v>138040</c:v>
                </c:pt>
                <c:pt idx="2">
                  <c:v>189166</c:v>
                </c:pt>
                <c:pt idx="3">
                  <c:v>189166</c:v>
                </c:pt>
                <c:pt idx="4">
                  <c:v>189166</c:v>
                </c:pt>
                <c:pt idx="5">
                  <c:v>189166</c:v>
                </c:pt>
                <c:pt idx="6">
                  <c:v>189166</c:v>
                </c:pt>
                <c:pt idx="7">
                  <c:v>189166</c:v>
                </c:pt>
                <c:pt idx="8">
                  <c:v>189166</c:v>
                </c:pt>
                <c:pt idx="9">
                  <c:v>189166</c:v>
                </c:pt>
                <c:pt idx="10">
                  <c:v>189166</c:v>
                </c:pt>
                <c:pt idx="11">
                  <c:v>189166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Bassin'!$E$16,'Vol. par Bassin'!$H$16,'Vol. par Bassin'!$K$16,'Vol. par Bassin'!$N$16,'Vol. par Bassin'!$Q$16,'Vol. par Bassin'!$T$16,'Vol. par Bassin'!$W$16,'Vol. par Bassin'!$Z$16,'Vol. par Bassin'!$AC$16,'Vol. par Bassin'!$AF$16,'Vol. par Bassin'!$AI$16,'Vol. par Bassin'!$AL$16)</c:f>
              <c:numCache>
                <c:formatCode>#,##0</c:formatCode>
                <c:ptCount val="12"/>
                <c:pt idx="0">
                  <c:v>56350</c:v>
                </c:pt>
                <c:pt idx="1">
                  <c:v>112250</c:v>
                </c:pt>
                <c:pt idx="2">
                  <c:v>169175</c:v>
                </c:pt>
                <c:pt idx="3">
                  <c:v>223675</c:v>
                </c:pt>
                <c:pt idx="4">
                  <c:v>259445</c:v>
                </c:pt>
                <c:pt idx="5">
                  <c:v>303859</c:v>
                </c:pt>
                <c:pt idx="6">
                  <c:v>358607</c:v>
                </c:pt>
                <c:pt idx="7">
                  <c:v>389207</c:v>
                </c:pt>
                <c:pt idx="8">
                  <c:v>424907</c:v>
                </c:pt>
                <c:pt idx="9">
                  <c:v>486746</c:v>
                </c:pt>
                <c:pt idx="10">
                  <c:v>523546</c:v>
                </c:pt>
                <c:pt idx="11">
                  <c:v>542446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Bassin'!$E$17,'Vol. par Bassin'!$H$17,'Vol. par Bassin'!$K$17,'Vol. par Bassin'!$N$17,'Vol. par Bassin'!$Q$17,'Vol. par Bassin'!$T$17,'Vol. par Bassin'!$W$17,'Vol. par Bassin'!$Z$17,'Vol. par Bassin'!$AC$17,'Vol. par Bassin'!$AF$17,'Vol. par Bassin'!$AI$17,'Vol. par Bassin'!$AL$17)</c:f>
              <c:numCache>
                <c:formatCode>#,##0</c:formatCode>
                <c:ptCount val="12"/>
                <c:pt idx="0">
                  <c:v>56350</c:v>
                </c:pt>
                <c:pt idx="1">
                  <c:v>67250</c:v>
                </c:pt>
                <c:pt idx="2">
                  <c:v>124875</c:v>
                </c:pt>
                <c:pt idx="3">
                  <c:v>172875</c:v>
                </c:pt>
                <c:pt idx="4">
                  <c:v>209245</c:v>
                </c:pt>
                <c:pt idx="5">
                  <c:v>260905</c:v>
                </c:pt>
                <c:pt idx="6">
                  <c:v>314103</c:v>
                </c:pt>
                <c:pt idx="7">
                  <c:v>342203</c:v>
                </c:pt>
                <c:pt idx="8">
                  <c:v>383603</c:v>
                </c:pt>
                <c:pt idx="9">
                  <c:v>447342</c:v>
                </c:pt>
                <c:pt idx="10">
                  <c:v>488142</c:v>
                </c:pt>
                <c:pt idx="11">
                  <c:v>510042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26016"/>
        <c:axId val="96327552"/>
      </c:lineChart>
      <c:catAx>
        <c:axId val="9632601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96327552"/>
        <c:crosses val="autoZero"/>
        <c:auto val="1"/>
        <c:lblAlgn val="ctr"/>
        <c:lblOffset val="100"/>
        <c:noMultiLvlLbl val="0"/>
      </c:catAx>
      <c:valAx>
        <c:axId val="96327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6326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BASSIN</a:t>
            </a:r>
            <a:r>
              <a:rPr lang="fr-FR" baseline="0">
                <a:solidFill>
                  <a:schemeClr val="accent1"/>
                </a:solidFill>
              </a:rPr>
              <a:t> NORD OUEST</a:t>
            </a:r>
            <a:endParaRPr lang="fr-FR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980477777777778"/>
          <c:y val="0.127"/>
          <c:w val="0.37887933333333335"/>
          <c:h val="0.6314655555555555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par Bassin'!$B$13:$B$14</c:f>
              <c:strCache>
                <c:ptCount val="2"/>
                <c:pt idx="0">
                  <c:v>Cumul Fer</c:v>
                </c:pt>
                <c:pt idx="1">
                  <c:v>Cumul Route</c:v>
                </c:pt>
              </c:strCache>
            </c:strRef>
          </c:cat>
          <c:val>
            <c:numRef>
              <c:f>'Vol. par Bassin'!$AL$13:$AL$14</c:f>
              <c:numCache>
                <c:formatCode>#,##0</c:formatCode>
                <c:ptCount val="2"/>
                <c:pt idx="0">
                  <c:v>165458</c:v>
                </c:pt>
                <c:pt idx="1">
                  <c:v>23708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8816877777777775"/>
          <c:y val="0.81369499999999995"/>
          <c:w val="0.10661744444444443"/>
          <c:h val="9.2763703703703709E-2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BAGNAC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Carrières'!$D$6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Carrières'!$E$6:$P$6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Carrières'!$D$7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Carrières'!$E$7:$P$7</c:f>
              <c:numCache>
                <c:formatCode>#,##0</c:formatCode>
                <c:ptCount val="12"/>
                <c:pt idx="0">
                  <c:v>1091</c:v>
                </c:pt>
                <c:pt idx="1">
                  <c:v>627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Carrières'!$E$8:$P$8</c:f>
              <c:numCache>
                <c:formatCode>#,##0</c:formatCode>
                <c:ptCount val="12"/>
                <c:pt idx="0">
                  <c:v>1091</c:v>
                </c:pt>
                <c:pt idx="1">
                  <c:v>627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Carrières'!$E$9:$P$9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rgbClr val="66FF33"/>
              </a:solidFill>
              <a:prstDash val="sysDot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Carrières'!$E$10:$P$10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29024"/>
        <c:axId val="109347200"/>
      </c:lineChart>
      <c:catAx>
        <c:axId val="1093290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9347200"/>
        <c:crosses val="autoZero"/>
        <c:auto val="1"/>
        <c:lblAlgn val="ctr"/>
        <c:lblOffset val="100"/>
        <c:noMultiLvlLbl val="0"/>
      </c:catAx>
      <c:valAx>
        <c:axId val="109347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093290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BAGNAC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071454808261773E-2"/>
          <c:y val="0.22666277199221066"/>
          <c:w val="0.67447170552956248"/>
          <c:h val="0.45037304207941747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Carrières'!$D$6:$D$7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Carrières'!$Q$6:$Q$7</c:f>
              <c:numCache>
                <c:formatCode>#,##0</c:formatCode>
                <c:ptCount val="2"/>
                <c:pt idx="0">
                  <c:v>0</c:v>
                </c:pt>
                <c:pt idx="1">
                  <c:v>1718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1036882814114452"/>
          <c:y val="0.72667648801964269"/>
          <c:w val="0.19554046649643456"/>
          <c:h val="6.917382101430869E-2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BAGNAC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Carrières'!$D$11</c:f>
              <c:strCache>
                <c:ptCount val="1"/>
                <c:pt idx="0">
                  <c:v>Cumul Fer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Carrières'!$E$11:$P$11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Carrières'!$D$12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Carrières'!$E$12:$P$12</c:f>
              <c:numCache>
                <c:formatCode>#,##0</c:formatCode>
                <c:ptCount val="12"/>
                <c:pt idx="0">
                  <c:v>1091</c:v>
                </c:pt>
                <c:pt idx="1">
                  <c:v>1718</c:v>
                </c:pt>
                <c:pt idx="2">
                  <c:v>1718</c:v>
                </c:pt>
                <c:pt idx="3">
                  <c:v>1718</c:v>
                </c:pt>
                <c:pt idx="4">
                  <c:v>1718</c:v>
                </c:pt>
                <c:pt idx="5">
                  <c:v>1718</c:v>
                </c:pt>
                <c:pt idx="6">
                  <c:v>1718</c:v>
                </c:pt>
                <c:pt idx="7">
                  <c:v>1718</c:v>
                </c:pt>
                <c:pt idx="8">
                  <c:v>1718</c:v>
                </c:pt>
                <c:pt idx="9">
                  <c:v>1718</c:v>
                </c:pt>
                <c:pt idx="10">
                  <c:v>1718</c:v>
                </c:pt>
                <c:pt idx="11">
                  <c:v>1718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Carrières'!$D$13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Carrières'!$E$13:$P$13</c:f>
              <c:numCache>
                <c:formatCode>#,##0</c:formatCode>
                <c:ptCount val="12"/>
                <c:pt idx="0">
                  <c:v>1091</c:v>
                </c:pt>
                <c:pt idx="1">
                  <c:v>1718</c:v>
                </c:pt>
                <c:pt idx="2">
                  <c:v>1718</c:v>
                </c:pt>
                <c:pt idx="3">
                  <c:v>1718</c:v>
                </c:pt>
                <c:pt idx="4">
                  <c:v>1718</c:v>
                </c:pt>
                <c:pt idx="5">
                  <c:v>1718</c:v>
                </c:pt>
                <c:pt idx="6">
                  <c:v>1718</c:v>
                </c:pt>
                <c:pt idx="7">
                  <c:v>1718</c:v>
                </c:pt>
                <c:pt idx="8">
                  <c:v>1718</c:v>
                </c:pt>
                <c:pt idx="9">
                  <c:v>1718</c:v>
                </c:pt>
                <c:pt idx="10">
                  <c:v>1718</c:v>
                </c:pt>
                <c:pt idx="11">
                  <c:v>1718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Carrières'!$D$14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Carrières'!$E$14:$P$14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Carrières'!$D$15</c:f>
              <c:strCache>
                <c:ptCount val="1"/>
                <c:pt idx="0">
                  <c:v>Prévison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Carrières'!$E$15:$P$15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76992"/>
        <c:axId val="110278528"/>
      </c:lineChart>
      <c:catAx>
        <c:axId val="11027699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0278528"/>
        <c:crosses val="autoZero"/>
        <c:auto val="1"/>
        <c:lblAlgn val="ctr"/>
        <c:lblOffset val="100"/>
        <c:noMultiLvlLbl val="0"/>
      </c:catAx>
      <c:valAx>
        <c:axId val="110278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02769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COURZIEU Mensuel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384144113540848"/>
          <c:y val="8.9194628676878052E-2"/>
          <c:w val="0.84659089469302828"/>
          <c:h val="0.70247899260651914"/>
        </c:manualLayout>
      </c:layout>
      <c:lineChart>
        <c:grouping val="standard"/>
        <c:varyColors val="0"/>
        <c:ser>
          <c:idx val="0"/>
          <c:order val="0"/>
          <c:tx>
            <c:strRef>
              <c:f>'Vol. Carrières'!$D$18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Carrières'!$E$18:$P$18</c:f>
              <c:numCache>
                <c:formatCode>#,##0</c:formatCode>
                <c:ptCount val="12"/>
                <c:pt idx="0">
                  <c:v>5555</c:v>
                </c:pt>
                <c:pt idx="1">
                  <c:v>10797</c:v>
                </c:pt>
                <c:pt idx="2">
                  <c:v>11750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Carrières'!$D$19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Carrières'!$E$19:$P$19</c:f>
              <c:numCache>
                <c:formatCode>#,##0</c:formatCode>
                <c:ptCount val="12"/>
                <c:pt idx="0">
                  <c:v>7218</c:v>
                </c:pt>
                <c:pt idx="1">
                  <c:v>13034</c:v>
                </c:pt>
                <c:pt idx="2">
                  <c:v>4560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Carrières'!$D$20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Carrières'!$E$20:$P$20</c:f>
              <c:numCache>
                <c:formatCode>#,##0</c:formatCode>
                <c:ptCount val="12"/>
                <c:pt idx="0">
                  <c:v>12773</c:v>
                </c:pt>
                <c:pt idx="1">
                  <c:v>23831</c:v>
                </c:pt>
                <c:pt idx="2">
                  <c:v>16310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Carrières'!$D$21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Carrières'!$E$21:$P$21</c:f>
              <c:numCache>
                <c:formatCode>#,##0</c:formatCode>
                <c:ptCount val="12"/>
                <c:pt idx="0">
                  <c:v>11700</c:v>
                </c:pt>
                <c:pt idx="1">
                  <c:v>14500</c:v>
                </c:pt>
                <c:pt idx="2">
                  <c:v>15250</c:v>
                </c:pt>
                <c:pt idx="3">
                  <c:v>27500</c:v>
                </c:pt>
                <c:pt idx="4">
                  <c:v>23400</c:v>
                </c:pt>
                <c:pt idx="5">
                  <c:v>8200</c:v>
                </c:pt>
                <c:pt idx="6">
                  <c:v>0</c:v>
                </c:pt>
                <c:pt idx="7">
                  <c:v>6000</c:v>
                </c:pt>
                <c:pt idx="8">
                  <c:v>4935</c:v>
                </c:pt>
                <c:pt idx="9">
                  <c:v>3600</c:v>
                </c:pt>
                <c:pt idx="10">
                  <c:v>9600</c:v>
                </c:pt>
                <c:pt idx="11">
                  <c:v>4800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Carrières'!$D$22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Carrières'!$E$22:$P$22</c:f>
              <c:numCache>
                <c:formatCode>#,##0</c:formatCode>
                <c:ptCount val="12"/>
                <c:pt idx="0">
                  <c:v>11700</c:v>
                </c:pt>
                <c:pt idx="1">
                  <c:v>14500</c:v>
                </c:pt>
                <c:pt idx="2">
                  <c:v>16450</c:v>
                </c:pt>
                <c:pt idx="3">
                  <c:v>28300</c:v>
                </c:pt>
                <c:pt idx="4">
                  <c:v>23620</c:v>
                </c:pt>
                <c:pt idx="5">
                  <c:v>8200</c:v>
                </c:pt>
                <c:pt idx="6">
                  <c:v>0</c:v>
                </c:pt>
                <c:pt idx="7">
                  <c:v>6000</c:v>
                </c:pt>
                <c:pt idx="8">
                  <c:v>4935</c:v>
                </c:pt>
                <c:pt idx="9">
                  <c:v>3600</c:v>
                </c:pt>
                <c:pt idx="10">
                  <c:v>9600</c:v>
                </c:pt>
                <c:pt idx="11">
                  <c:v>4800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57888"/>
        <c:axId val="109970560"/>
      </c:lineChart>
      <c:catAx>
        <c:axId val="11035788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09970560"/>
        <c:crosses val="autoZero"/>
        <c:auto val="1"/>
        <c:lblAlgn val="ctr"/>
        <c:lblOffset val="100"/>
        <c:noMultiLvlLbl val="0"/>
      </c:catAx>
      <c:valAx>
        <c:axId val="109970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03578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COURZIEU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669612380491014E-2"/>
          <c:y val="0.19281803788953747"/>
          <c:w val="0.71101413126865165"/>
          <c:h val="0.4240062588892371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Carrières'!$D$18:$D$19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Carrières'!$Q$18:$Q$19</c:f>
              <c:numCache>
                <c:formatCode>#,##0</c:formatCode>
                <c:ptCount val="2"/>
                <c:pt idx="0">
                  <c:v>28102</c:v>
                </c:pt>
                <c:pt idx="1">
                  <c:v>24812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707721156226201"/>
          <c:y val="0.67647083813770714"/>
          <c:w val="0.15444491565435692"/>
          <c:h val="7.652111850322448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COURZIEU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Carrières'!$D$23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Carrières'!$E$23:$P$23</c:f>
              <c:numCache>
                <c:formatCode>#,##0</c:formatCode>
                <c:ptCount val="12"/>
                <c:pt idx="0">
                  <c:v>5555</c:v>
                </c:pt>
                <c:pt idx="1">
                  <c:v>16352</c:v>
                </c:pt>
                <c:pt idx="2">
                  <c:v>28102</c:v>
                </c:pt>
                <c:pt idx="3">
                  <c:v>28102</c:v>
                </c:pt>
                <c:pt idx="4">
                  <c:v>28102</c:v>
                </c:pt>
                <c:pt idx="5">
                  <c:v>28102</c:v>
                </c:pt>
                <c:pt idx="6">
                  <c:v>28102</c:v>
                </c:pt>
                <c:pt idx="7">
                  <c:v>28102</c:v>
                </c:pt>
                <c:pt idx="8">
                  <c:v>28102</c:v>
                </c:pt>
                <c:pt idx="9">
                  <c:v>28102</c:v>
                </c:pt>
                <c:pt idx="10">
                  <c:v>28102</c:v>
                </c:pt>
                <c:pt idx="11">
                  <c:v>28102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Carrières'!$D$24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Carrières'!$E$24:$P$24</c:f>
              <c:numCache>
                <c:formatCode>#,##0</c:formatCode>
                <c:ptCount val="12"/>
                <c:pt idx="0">
                  <c:v>7218</c:v>
                </c:pt>
                <c:pt idx="1">
                  <c:v>20252</c:v>
                </c:pt>
                <c:pt idx="2">
                  <c:v>24812</c:v>
                </c:pt>
                <c:pt idx="3">
                  <c:v>24812</c:v>
                </c:pt>
                <c:pt idx="4">
                  <c:v>24812</c:v>
                </c:pt>
                <c:pt idx="5">
                  <c:v>24812</c:v>
                </c:pt>
                <c:pt idx="6">
                  <c:v>24812</c:v>
                </c:pt>
                <c:pt idx="7">
                  <c:v>24812</c:v>
                </c:pt>
                <c:pt idx="8">
                  <c:v>24812</c:v>
                </c:pt>
                <c:pt idx="9">
                  <c:v>24812</c:v>
                </c:pt>
                <c:pt idx="10">
                  <c:v>24812</c:v>
                </c:pt>
                <c:pt idx="11">
                  <c:v>24812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Carrières'!$D$25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Carrières'!$E$25:$P$25</c:f>
              <c:numCache>
                <c:formatCode>#,##0</c:formatCode>
                <c:ptCount val="12"/>
                <c:pt idx="0">
                  <c:v>12773</c:v>
                </c:pt>
                <c:pt idx="1">
                  <c:v>36604</c:v>
                </c:pt>
                <c:pt idx="2">
                  <c:v>52914</c:v>
                </c:pt>
                <c:pt idx="3">
                  <c:v>52914</c:v>
                </c:pt>
                <c:pt idx="4">
                  <c:v>52914</c:v>
                </c:pt>
                <c:pt idx="5">
                  <c:v>52914</c:v>
                </c:pt>
                <c:pt idx="6">
                  <c:v>52914</c:v>
                </c:pt>
                <c:pt idx="7">
                  <c:v>52914</c:v>
                </c:pt>
                <c:pt idx="8">
                  <c:v>52914</c:v>
                </c:pt>
                <c:pt idx="9">
                  <c:v>52914</c:v>
                </c:pt>
                <c:pt idx="10">
                  <c:v>52914</c:v>
                </c:pt>
                <c:pt idx="11">
                  <c:v>52914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Carrières'!$D$26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Carrières'!$E$26:$P$26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41450</c:v>
                </c:pt>
                <c:pt idx="3">
                  <c:v>68950</c:v>
                </c:pt>
                <c:pt idx="4">
                  <c:v>92350</c:v>
                </c:pt>
                <c:pt idx="5">
                  <c:v>100550</c:v>
                </c:pt>
                <c:pt idx="6">
                  <c:v>100550</c:v>
                </c:pt>
                <c:pt idx="7">
                  <c:v>106550</c:v>
                </c:pt>
                <c:pt idx="8">
                  <c:v>111485</c:v>
                </c:pt>
                <c:pt idx="9">
                  <c:v>115085</c:v>
                </c:pt>
                <c:pt idx="10">
                  <c:v>124685</c:v>
                </c:pt>
                <c:pt idx="11">
                  <c:v>129485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Carrières'!$D$27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Carrières'!$E$27:$P$27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42650</c:v>
                </c:pt>
                <c:pt idx="3">
                  <c:v>70950</c:v>
                </c:pt>
                <c:pt idx="4">
                  <c:v>94570</c:v>
                </c:pt>
                <c:pt idx="5">
                  <c:v>102770</c:v>
                </c:pt>
                <c:pt idx="6">
                  <c:v>102770</c:v>
                </c:pt>
                <c:pt idx="7">
                  <c:v>108770</c:v>
                </c:pt>
                <c:pt idx="8">
                  <c:v>113705</c:v>
                </c:pt>
                <c:pt idx="9">
                  <c:v>117305</c:v>
                </c:pt>
                <c:pt idx="10">
                  <c:v>126905</c:v>
                </c:pt>
                <c:pt idx="11">
                  <c:v>131705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32000"/>
        <c:axId val="110033536"/>
      </c:lineChart>
      <c:catAx>
        <c:axId val="11003200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0033536"/>
        <c:crosses val="autoZero"/>
        <c:auto val="1"/>
        <c:lblAlgn val="ctr"/>
        <c:lblOffset val="100"/>
        <c:noMultiLvlLbl val="0"/>
      </c:catAx>
      <c:valAx>
        <c:axId val="110033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00320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CUSSET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Carrières'!$D$30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Carrières'!$E$30:$P$30</c:f>
              <c:numCache>
                <c:formatCode>#,##0</c:formatCode>
                <c:ptCount val="12"/>
                <c:pt idx="0">
                  <c:v>10542</c:v>
                </c:pt>
                <c:pt idx="1">
                  <c:v>13027</c:v>
                </c:pt>
                <c:pt idx="2">
                  <c:v>12578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Carrières'!$D$31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Carrières'!$E$31:$P$31</c:f>
              <c:numCache>
                <c:formatCode>#,##0</c:formatCode>
                <c:ptCount val="12"/>
                <c:pt idx="0">
                  <c:v>108</c:v>
                </c:pt>
                <c:pt idx="1">
                  <c:v>1003</c:v>
                </c:pt>
                <c:pt idx="2">
                  <c:v>561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Carrières'!$D$32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Carrières'!$E$32:$P$32</c:f>
              <c:numCache>
                <c:formatCode>#,##0</c:formatCode>
                <c:ptCount val="12"/>
                <c:pt idx="0">
                  <c:v>10650</c:v>
                </c:pt>
                <c:pt idx="1">
                  <c:v>14030</c:v>
                </c:pt>
                <c:pt idx="2">
                  <c:v>13139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Carrières'!$D$33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Carrières'!$E$33:$P$33</c:f>
              <c:numCache>
                <c:formatCode>#,##0</c:formatCode>
                <c:ptCount val="12"/>
                <c:pt idx="0">
                  <c:v>21800</c:v>
                </c:pt>
                <c:pt idx="1">
                  <c:v>21800</c:v>
                </c:pt>
                <c:pt idx="2">
                  <c:v>19000</c:v>
                </c:pt>
                <c:pt idx="3">
                  <c:v>36900</c:v>
                </c:pt>
                <c:pt idx="4">
                  <c:v>28820</c:v>
                </c:pt>
                <c:pt idx="5">
                  <c:v>8210</c:v>
                </c:pt>
                <c:pt idx="6">
                  <c:v>10200</c:v>
                </c:pt>
                <c:pt idx="7">
                  <c:v>4800</c:v>
                </c:pt>
                <c:pt idx="8">
                  <c:v>14400</c:v>
                </c:pt>
                <c:pt idx="9">
                  <c:v>24400</c:v>
                </c:pt>
                <c:pt idx="10">
                  <c:v>18400</c:v>
                </c:pt>
                <c:pt idx="11">
                  <c:v>5000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Carrières'!$D$34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Carrières'!$E$34:$P$34</c:f>
              <c:numCache>
                <c:formatCode>#,##0</c:formatCode>
                <c:ptCount val="12"/>
                <c:pt idx="0">
                  <c:v>21800</c:v>
                </c:pt>
                <c:pt idx="1">
                  <c:v>17000</c:v>
                </c:pt>
                <c:pt idx="2">
                  <c:v>19900</c:v>
                </c:pt>
                <c:pt idx="3">
                  <c:v>37800</c:v>
                </c:pt>
                <c:pt idx="4">
                  <c:v>26170</c:v>
                </c:pt>
                <c:pt idx="5">
                  <c:v>8210</c:v>
                </c:pt>
                <c:pt idx="6">
                  <c:v>10200</c:v>
                </c:pt>
                <c:pt idx="7">
                  <c:v>0</c:v>
                </c:pt>
                <c:pt idx="8">
                  <c:v>9600</c:v>
                </c:pt>
                <c:pt idx="9">
                  <c:v>25200</c:v>
                </c:pt>
                <c:pt idx="10">
                  <c:v>17000</c:v>
                </c:pt>
                <c:pt idx="11">
                  <c:v>5000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78688"/>
        <c:axId val="110180224"/>
      </c:lineChart>
      <c:catAx>
        <c:axId val="11017868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0180224"/>
        <c:crosses val="autoZero"/>
        <c:auto val="1"/>
        <c:lblAlgn val="ctr"/>
        <c:lblOffset val="100"/>
        <c:noMultiLvlLbl val="0"/>
      </c:catAx>
      <c:valAx>
        <c:axId val="110180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0178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CUSSET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422036971992624E-2"/>
          <c:y val="0.15624873808099168"/>
          <c:w val="0.80247855710342542"/>
          <c:h val="0.47890724893194525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Carrières'!$D$30:$D$31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Carrières'!$Q$30:$Q$31</c:f>
              <c:numCache>
                <c:formatCode>#,##0</c:formatCode>
                <c:ptCount val="2"/>
                <c:pt idx="0">
                  <c:v>36147</c:v>
                </c:pt>
                <c:pt idx="1">
                  <c:v>1672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6340912083632693"/>
          <c:y val="0.69876340733966447"/>
          <c:w val="0.15521543411249053"/>
          <c:h val="7.696026184578558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CUSSET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Carrières'!$D$35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Carrières'!$E$35:$P$35</c:f>
              <c:numCache>
                <c:formatCode>#,##0</c:formatCode>
                <c:ptCount val="12"/>
                <c:pt idx="0">
                  <c:v>10542</c:v>
                </c:pt>
                <c:pt idx="1">
                  <c:v>23569</c:v>
                </c:pt>
                <c:pt idx="2">
                  <c:v>36147</c:v>
                </c:pt>
                <c:pt idx="3">
                  <c:v>36147</c:v>
                </c:pt>
                <c:pt idx="4">
                  <c:v>36147</c:v>
                </c:pt>
                <c:pt idx="5">
                  <c:v>36147</c:v>
                </c:pt>
                <c:pt idx="6">
                  <c:v>36147</c:v>
                </c:pt>
                <c:pt idx="7">
                  <c:v>36147</c:v>
                </c:pt>
                <c:pt idx="8">
                  <c:v>36147</c:v>
                </c:pt>
                <c:pt idx="9">
                  <c:v>36147</c:v>
                </c:pt>
                <c:pt idx="10">
                  <c:v>36147</c:v>
                </c:pt>
                <c:pt idx="11">
                  <c:v>36147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Carrières'!$D$36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Carrières'!$E$36:$P$36</c:f>
              <c:numCache>
                <c:formatCode>#,##0</c:formatCode>
                <c:ptCount val="12"/>
                <c:pt idx="0">
                  <c:v>108</c:v>
                </c:pt>
                <c:pt idx="1">
                  <c:v>1111</c:v>
                </c:pt>
                <c:pt idx="2">
                  <c:v>1672</c:v>
                </c:pt>
                <c:pt idx="3">
                  <c:v>1672</c:v>
                </c:pt>
                <c:pt idx="4">
                  <c:v>1672</c:v>
                </c:pt>
                <c:pt idx="5">
                  <c:v>1672</c:v>
                </c:pt>
                <c:pt idx="6">
                  <c:v>1672</c:v>
                </c:pt>
                <c:pt idx="7">
                  <c:v>1672</c:v>
                </c:pt>
                <c:pt idx="8">
                  <c:v>1672</c:v>
                </c:pt>
                <c:pt idx="9">
                  <c:v>1672</c:v>
                </c:pt>
                <c:pt idx="10">
                  <c:v>1672</c:v>
                </c:pt>
                <c:pt idx="11">
                  <c:v>1672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Carrières'!$D$37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Carrières'!$E$37:$P$37</c:f>
              <c:numCache>
                <c:formatCode>#,##0</c:formatCode>
                <c:ptCount val="12"/>
                <c:pt idx="0">
                  <c:v>10650</c:v>
                </c:pt>
                <c:pt idx="1">
                  <c:v>24680</c:v>
                </c:pt>
                <c:pt idx="2">
                  <c:v>37819</c:v>
                </c:pt>
                <c:pt idx="3">
                  <c:v>37819</c:v>
                </c:pt>
                <c:pt idx="4">
                  <c:v>37819</c:v>
                </c:pt>
                <c:pt idx="5">
                  <c:v>37819</c:v>
                </c:pt>
                <c:pt idx="6">
                  <c:v>37819</c:v>
                </c:pt>
                <c:pt idx="7">
                  <c:v>37819</c:v>
                </c:pt>
                <c:pt idx="8">
                  <c:v>37819</c:v>
                </c:pt>
                <c:pt idx="9">
                  <c:v>37819</c:v>
                </c:pt>
                <c:pt idx="10">
                  <c:v>37819</c:v>
                </c:pt>
                <c:pt idx="11">
                  <c:v>37819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Carrières'!$D$38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Carrières'!$E$38:$P$38</c:f>
              <c:numCache>
                <c:formatCode>#,##0</c:formatCode>
                <c:ptCount val="12"/>
                <c:pt idx="0">
                  <c:v>21800</c:v>
                </c:pt>
                <c:pt idx="1">
                  <c:v>43600</c:v>
                </c:pt>
                <c:pt idx="2">
                  <c:v>62600</c:v>
                </c:pt>
                <c:pt idx="3">
                  <c:v>99500</c:v>
                </c:pt>
                <c:pt idx="4">
                  <c:v>128320</c:v>
                </c:pt>
                <c:pt idx="5">
                  <c:v>136530</c:v>
                </c:pt>
                <c:pt idx="6">
                  <c:v>146730</c:v>
                </c:pt>
                <c:pt idx="7">
                  <c:v>151530</c:v>
                </c:pt>
                <c:pt idx="8">
                  <c:v>165930</c:v>
                </c:pt>
                <c:pt idx="9">
                  <c:v>190330</c:v>
                </c:pt>
                <c:pt idx="10">
                  <c:v>208730</c:v>
                </c:pt>
                <c:pt idx="11">
                  <c:v>213730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Carrières'!$D$39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Carrières'!$E$39:$P$39</c:f>
              <c:numCache>
                <c:formatCode>#,##0</c:formatCode>
                <c:ptCount val="12"/>
                <c:pt idx="0">
                  <c:v>21800</c:v>
                </c:pt>
                <c:pt idx="1">
                  <c:v>38800</c:v>
                </c:pt>
                <c:pt idx="2">
                  <c:v>58700</c:v>
                </c:pt>
                <c:pt idx="3">
                  <c:v>96500</c:v>
                </c:pt>
                <c:pt idx="4">
                  <c:v>122670</c:v>
                </c:pt>
                <c:pt idx="5">
                  <c:v>130880</c:v>
                </c:pt>
                <c:pt idx="6">
                  <c:v>141080</c:v>
                </c:pt>
                <c:pt idx="7">
                  <c:v>141080</c:v>
                </c:pt>
                <c:pt idx="8">
                  <c:v>150680</c:v>
                </c:pt>
                <c:pt idx="9">
                  <c:v>175880</c:v>
                </c:pt>
                <c:pt idx="10">
                  <c:v>192880</c:v>
                </c:pt>
                <c:pt idx="11">
                  <c:v>197880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61856"/>
        <c:axId val="110763392"/>
      </c:lineChart>
      <c:catAx>
        <c:axId val="11076185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0763392"/>
        <c:crosses val="autoZero"/>
        <c:auto val="1"/>
        <c:lblAlgn val="ctr"/>
        <c:lblOffset val="100"/>
        <c:noMultiLvlLbl val="0"/>
      </c:catAx>
      <c:valAx>
        <c:axId val="110763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07618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EP ROY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Carrières'!$D$42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Carrières'!$E$42:$P$42</c:f>
              <c:numCache>
                <c:formatCode>#,##0</c:formatCode>
                <c:ptCount val="12"/>
                <c:pt idx="0">
                  <c:v>480</c:v>
                </c:pt>
                <c:pt idx="1">
                  <c:v>256</c:v>
                </c:pt>
                <c:pt idx="2">
                  <c:v>458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Carrières'!$D$43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Carrières'!$E$43:$P$43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Carrières'!$D$44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Carrières'!$E$44:$P$44</c:f>
              <c:numCache>
                <c:formatCode>#,##0</c:formatCode>
                <c:ptCount val="12"/>
                <c:pt idx="0">
                  <c:v>480</c:v>
                </c:pt>
                <c:pt idx="1">
                  <c:v>256</c:v>
                </c:pt>
                <c:pt idx="2">
                  <c:v>458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Carrières'!$D$45</c:f>
              <c:strCache>
                <c:ptCount val="1"/>
                <c:pt idx="0">
                  <c:v>Prévision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Carrières'!$E$45:$P$45</c:f>
              <c:numCache>
                <c:formatCode>#,##0</c:formatCode>
                <c:ptCount val="12"/>
              </c:numCache>
            </c:numRef>
          </c:val>
          <c:smooth val="0"/>
        </c:ser>
        <c:ser>
          <c:idx val="4"/>
          <c:order val="4"/>
          <c:tx>
            <c:strRef>
              <c:f>'Vol. Carrières'!$D$46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Carrières'!$E$46:$P$46</c:f>
              <c:numCache>
                <c:formatCode>#,##0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90752"/>
        <c:axId val="110492288"/>
      </c:lineChart>
      <c:catAx>
        <c:axId val="1104907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2288"/>
        <c:crosses val="autoZero"/>
        <c:auto val="1"/>
        <c:lblAlgn val="ctr"/>
        <c:lblOffset val="100"/>
        <c:noMultiLvlLbl val="0"/>
      </c:catAx>
      <c:valAx>
        <c:axId val="110492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049075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EP ROY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485009978593"/>
          <c:y val="0.21098645123036372"/>
          <c:w val="0.73327527472253873"/>
          <c:h val="0.445601251974702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Carrières'!$D$42:$D$43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Carrières'!$Q$42:$Q$43</c:f>
              <c:numCache>
                <c:formatCode>#,##0</c:formatCode>
                <c:ptCount val="2"/>
                <c:pt idx="0">
                  <c:v>1194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4627289723349241"/>
          <c:y val="0.74425854642697498"/>
          <c:w val="0.15293667203542829"/>
          <c:h val="7.72155297180081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EP ROY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Carrières'!$D$47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Carrières'!$E$47:$P$47</c:f>
              <c:numCache>
                <c:formatCode>#,##0</c:formatCode>
                <c:ptCount val="12"/>
                <c:pt idx="0">
                  <c:v>480</c:v>
                </c:pt>
                <c:pt idx="1">
                  <c:v>736</c:v>
                </c:pt>
                <c:pt idx="2">
                  <c:v>1194</c:v>
                </c:pt>
                <c:pt idx="3">
                  <c:v>1194</c:v>
                </c:pt>
                <c:pt idx="4">
                  <c:v>1194</c:v>
                </c:pt>
                <c:pt idx="5">
                  <c:v>1194</c:v>
                </c:pt>
                <c:pt idx="6">
                  <c:v>1194</c:v>
                </c:pt>
                <c:pt idx="7">
                  <c:v>1194</c:v>
                </c:pt>
                <c:pt idx="8">
                  <c:v>1194</c:v>
                </c:pt>
                <c:pt idx="9">
                  <c:v>1194</c:v>
                </c:pt>
                <c:pt idx="10">
                  <c:v>1194</c:v>
                </c:pt>
                <c:pt idx="11">
                  <c:v>1194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Carrières'!$D$48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Carrières'!$E$48:$P$48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Carrières'!$D$49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Carrières'!$E$49:$P$49</c:f>
              <c:numCache>
                <c:formatCode>#,##0</c:formatCode>
                <c:ptCount val="12"/>
                <c:pt idx="0">
                  <c:v>480</c:v>
                </c:pt>
                <c:pt idx="1">
                  <c:v>736</c:v>
                </c:pt>
                <c:pt idx="2">
                  <c:v>1194</c:v>
                </c:pt>
                <c:pt idx="3">
                  <c:v>1194</c:v>
                </c:pt>
                <c:pt idx="4">
                  <c:v>1194</c:v>
                </c:pt>
                <c:pt idx="5">
                  <c:v>1194</c:v>
                </c:pt>
                <c:pt idx="6">
                  <c:v>1194</c:v>
                </c:pt>
                <c:pt idx="7">
                  <c:v>1194</c:v>
                </c:pt>
                <c:pt idx="8">
                  <c:v>1194</c:v>
                </c:pt>
                <c:pt idx="9">
                  <c:v>1194</c:v>
                </c:pt>
                <c:pt idx="10">
                  <c:v>1194</c:v>
                </c:pt>
                <c:pt idx="11">
                  <c:v>1194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Carrières'!$D$50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Carrières'!$E$50:$P$50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Carrières'!$D$51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Carrières'!$E$51:$P$51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70496"/>
        <c:axId val="110584576"/>
      </c:lineChart>
      <c:catAx>
        <c:axId val="110570496"/>
        <c:scaling>
          <c:orientation val="minMax"/>
        </c:scaling>
        <c:delete val="0"/>
        <c:axPos val="b"/>
        <c:majorGridlines>
          <c:spPr>
            <a:ln>
              <a:solidFill>
                <a:schemeClr val="accent3">
                  <a:lumMod val="75000"/>
                </a:schemeClr>
              </a:solidFill>
            </a:ln>
          </c:spPr>
        </c:majorGridlines>
        <c:majorTickMark val="none"/>
        <c:minorTickMark val="none"/>
        <c:tickLblPos val="nextTo"/>
        <c:crossAx val="110584576"/>
        <c:crosses val="autoZero"/>
        <c:auto val="1"/>
        <c:lblAlgn val="ctr"/>
        <c:lblOffset val="100"/>
        <c:noMultiLvlLbl val="0"/>
      </c:catAx>
      <c:valAx>
        <c:axId val="110584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0570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MACON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Carrières'!$D$54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Carrières'!$E$54:$P$54</c:f>
              <c:numCache>
                <c:formatCode>#,##0</c:formatCode>
                <c:ptCount val="12"/>
                <c:pt idx="0">
                  <c:v>3361</c:v>
                </c:pt>
                <c:pt idx="1">
                  <c:v>4496</c:v>
                </c:pt>
                <c:pt idx="2">
                  <c:v>10930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Carrières'!$D$55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Carrières'!$E$55:$P$55</c:f>
              <c:numCache>
                <c:formatCode>#,##0</c:formatCode>
                <c:ptCount val="12"/>
                <c:pt idx="0">
                  <c:v>7358</c:v>
                </c:pt>
                <c:pt idx="1">
                  <c:v>0</c:v>
                </c:pt>
                <c:pt idx="2">
                  <c:v>668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Carrières'!$D$56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Carrières'!$E$56:$P$56</c:f>
              <c:numCache>
                <c:formatCode>#,##0</c:formatCode>
                <c:ptCount val="12"/>
                <c:pt idx="0">
                  <c:v>10719</c:v>
                </c:pt>
                <c:pt idx="1">
                  <c:v>4496</c:v>
                </c:pt>
                <c:pt idx="2">
                  <c:v>11598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Carrières'!$D$57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Carrières'!$E$57:$P$57</c:f>
              <c:numCache>
                <c:formatCode>#,##0</c:formatCode>
                <c:ptCount val="12"/>
                <c:pt idx="0">
                  <c:v>9500</c:v>
                </c:pt>
                <c:pt idx="1">
                  <c:v>17200</c:v>
                </c:pt>
                <c:pt idx="2">
                  <c:v>17700</c:v>
                </c:pt>
                <c:pt idx="3">
                  <c:v>11500</c:v>
                </c:pt>
                <c:pt idx="4">
                  <c:v>7600</c:v>
                </c:pt>
                <c:pt idx="5">
                  <c:v>4000</c:v>
                </c:pt>
                <c:pt idx="6">
                  <c:v>9505</c:v>
                </c:pt>
                <c:pt idx="7">
                  <c:v>7100</c:v>
                </c:pt>
                <c:pt idx="8">
                  <c:v>11800</c:v>
                </c:pt>
                <c:pt idx="9">
                  <c:v>11000</c:v>
                </c:pt>
                <c:pt idx="10">
                  <c:v>3500</c:v>
                </c:pt>
                <c:pt idx="11">
                  <c:v>1200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Carrières'!$D$58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Carrières'!$E$58:$P$58</c:f>
              <c:numCache>
                <c:formatCode>#,##0</c:formatCode>
                <c:ptCount val="12"/>
                <c:pt idx="0">
                  <c:v>9500</c:v>
                </c:pt>
                <c:pt idx="1">
                  <c:v>18400</c:v>
                </c:pt>
                <c:pt idx="2">
                  <c:v>14700</c:v>
                </c:pt>
                <c:pt idx="3">
                  <c:v>8900</c:v>
                </c:pt>
                <c:pt idx="4">
                  <c:v>3600</c:v>
                </c:pt>
                <c:pt idx="5">
                  <c:v>1200</c:v>
                </c:pt>
                <c:pt idx="6">
                  <c:v>8800</c:v>
                </c:pt>
                <c:pt idx="7">
                  <c:v>4400</c:v>
                </c:pt>
                <c:pt idx="8">
                  <c:v>11800</c:v>
                </c:pt>
                <c:pt idx="9">
                  <c:v>11000</c:v>
                </c:pt>
                <c:pt idx="10">
                  <c:v>3500</c:v>
                </c:pt>
                <c:pt idx="11">
                  <c:v>1200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43456"/>
        <c:axId val="110649344"/>
      </c:lineChart>
      <c:catAx>
        <c:axId val="11064345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0649344"/>
        <c:crosses val="autoZero"/>
        <c:auto val="1"/>
        <c:lblAlgn val="ctr"/>
        <c:lblOffset val="100"/>
        <c:noMultiLvlLbl val="0"/>
      </c:catAx>
      <c:valAx>
        <c:axId val="110649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0643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MACON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253085385603388E-2"/>
          <c:y val="0.15330646809538351"/>
          <c:w val="0.7567789132741386"/>
          <c:h val="0.453309578994938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Carrières'!$D$54:$D$55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Carrières'!$Q$54:$Q$55</c:f>
              <c:numCache>
                <c:formatCode>#,##0</c:formatCode>
                <c:ptCount val="2"/>
                <c:pt idx="0">
                  <c:v>18787</c:v>
                </c:pt>
                <c:pt idx="1">
                  <c:v>8026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6053331099570004"/>
          <c:y val="0.68140859524821806"/>
          <c:w val="0.1543603060255766"/>
          <c:h val="7.682015220661457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MACON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Carrières'!$D$59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Carrières'!$E$59:$P$59</c:f>
              <c:numCache>
                <c:formatCode>#,##0</c:formatCode>
                <c:ptCount val="12"/>
                <c:pt idx="0">
                  <c:v>3361</c:v>
                </c:pt>
                <c:pt idx="1">
                  <c:v>7857</c:v>
                </c:pt>
                <c:pt idx="2">
                  <c:v>18787</c:v>
                </c:pt>
                <c:pt idx="3">
                  <c:v>18787</c:v>
                </c:pt>
                <c:pt idx="4">
                  <c:v>18787</c:v>
                </c:pt>
                <c:pt idx="5">
                  <c:v>18787</c:v>
                </c:pt>
                <c:pt idx="6">
                  <c:v>18787</c:v>
                </c:pt>
                <c:pt idx="7">
                  <c:v>18787</c:v>
                </c:pt>
                <c:pt idx="8">
                  <c:v>18787</c:v>
                </c:pt>
                <c:pt idx="9">
                  <c:v>18787</c:v>
                </c:pt>
                <c:pt idx="10">
                  <c:v>18787</c:v>
                </c:pt>
                <c:pt idx="11">
                  <c:v>18787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Carrières'!$D$60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Carrières'!$E$60:$P$60</c:f>
              <c:numCache>
                <c:formatCode>#,##0</c:formatCode>
                <c:ptCount val="12"/>
                <c:pt idx="0">
                  <c:v>7358</c:v>
                </c:pt>
                <c:pt idx="1">
                  <c:v>7358</c:v>
                </c:pt>
                <c:pt idx="2">
                  <c:v>8026</c:v>
                </c:pt>
                <c:pt idx="3">
                  <c:v>8026</c:v>
                </c:pt>
                <c:pt idx="4">
                  <c:v>8026</c:v>
                </c:pt>
                <c:pt idx="5">
                  <c:v>8026</c:v>
                </c:pt>
                <c:pt idx="6">
                  <c:v>8026</c:v>
                </c:pt>
                <c:pt idx="7">
                  <c:v>8026</c:v>
                </c:pt>
                <c:pt idx="8">
                  <c:v>8026</c:v>
                </c:pt>
                <c:pt idx="9">
                  <c:v>8026</c:v>
                </c:pt>
                <c:pt idx="10">
                  <c:v>8026</c:v>
                </c:pt>
                <c:pt idx="11">
                  <c:v>8026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Carrières'!$D$61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Carrières'!$E$61:$P$61</c:f>
              <c:numCache>
                <c:formatCode>#,##0</c:formatCode>
                <c:ptCount val="12"/>
                <c:pt idx="0">
                  <c:v>10719</c:v>
                </c:pt>
                <c:pt idx="1">
                  <c:v>15215</c:v>
                </c:pt>
                <c:pt idx="2">
                  <c:v>26813</c:v>
                </c:pt>
                <c:pt idx="3">
                  <c:v>26813</c:v>
                </c:pt>
                <c:pt idx="4">
                  <c:v>26813</c:v>
                </c:pt>
                <c:pt idx="5">
                  <c:v>26813</c:v>
                </c:pt>
                <c:pt idx="6">
                  <c:v>26813</c:v>
                </c:pt>
                <c:pt idx="7">
                  <c:v>26813</c:v>
                </c:pt>
                <c:pt idx="8">
                  <c:v>26813</c:v>
                </c:pt>
                <c:pt idx="9">
                  <c:v>26813</c:v>
                </c:pt>
                <c:pt idx="10">
                  <c:v>26813</c:v>
                </c:pt>
                <c:pt idx="11">
                  <c:v>26813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Carrières'!$D$59</c:f>
              <c:strCache>
                <c:ptCount val="1"/>
                <c:pt idx="0">
                  <c:v>Cumul Fer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Carrières'!$E$59:$P$59</c:f>
              <c:numCache>
                <c:formatCode>#,##0</c:formatCode>
                <c:ptCount val="12"/>
                <c:pt idx="0">
                  <c:v>3361</c:v>
                </c:pt>
                <c:pt idx="1">
                  <c:v>7857</c:v>
                </c:pt>
                <c:pt idx="2">
                  <c:v>18787</c:v>
                </c:pt>
                <c:pt idx="3">
                  <c:v>18787</c:v>
                </c:pt>
                <c:pt idx="4">
                  <c:v>18787</c:v>
                </c:pt>
                <c:pt idx="5">
                  <c:v>18787</c:v>
                </c:pt>
                <c:pt idx="6">
                  <c:v>18787</c:v>
                </c:pt>
                <c:pt idx="7">
                  <c:v>18787</c:v>
                </c:pt>
                <c:pt idx="8">
                  <c:v>18787</c:v>
                </c:pt>
                <c:pt idx="9">
                  <c:v>18787</c:v>
                </c:pt>
                <c:pt idx="10">
                  <c:v>18787</c:v>
                </c:pt>
                <c:pt idx="11">
                  <c:v>18787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Carrières'!$D$63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Carrières'!$E$63:$P$63</c:f>
              <c:numCache>
                <c:formatCode>#,##0</c:formatCode>
                <c:ptCount val="12"/>
                <c:pt idx="0">
                  <c:v>9500</c:v>
                </c:pt>
                <c:pt idx="1">
                  <c:v>27900</c:v>
                </c:pt>
                <c:pt idx="2">
                  <c:v>42600</c:v>
                </c:pt>
                <c:pt idx="3">
                  <c:v>51500</c:v>
                </c:pt>
                <c:pt idx="4">
                  <c:v>55100</c:v>
                </c:pt>
                <c:pt idx="5">
                  <c:v>56300</c:v>
                </c:pt>
                <c:pt idx="6">
                  <c:v>65100</c:v>
                </c:pt>
                <c:pt idx="7">
                  <c:v>69500</c:v>
                </c:pt>
                <c:pt idx="8">
                  <c:v>81300</c:v>
                </c:pt>
                <c:pt idx="9">
                  <c:v>92300</c:v>
                </c:pt>
                <c:pt idx="10">
                  <c:v>95800</c:v>
                </c:pt>
                <c:pt idx="11">
                  <c:v>97000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12256"/>
        <c:axId val="110913792"/>
      </c:lineChart>
      <c:catAx>
        <c:axId val="11091225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0913792"/>
        <c:crosses val="autoZero"/>
        <c:auto val="1"/>
        <c:lblAlgn val="ctr"/>
        <c:lblOffset val="100"/>
        <c:noMultiLvlLbl val="0"/>
      </c:catAx>
      <c:valAx>
        <c:axId val="110913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09122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MONTROND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Carrières'!$D$66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Carrières'!$E$66:$P$66</c:f>
              <c:numCache>
                <c:formatCode>#,##0</c:formatCode>
                <c:ptCount val="12"/>
                <c:pt idx="0">
                  <c:v>2374</c:v>
                </c:pt>
                <c:pt idx="1">
                  <c:v>4337</c:v>
                </c:pt>
                <c:pt idx="2">
                  <c:v>603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Carrières'!$D$67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Carrières'!$E$67:$P$67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Carrières'!$D$68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Carrières'!$E$68:$P$68</c:f>
              <c:numCache>
                <c:formatCode>#,##0</c:formatCode>
                <c:ptCount val="12"/>
                <c:pt idx="0">
                  <c:v>2374</c:v>
                </c:pt>
                <c:pt idx="1">
                  <c:v>4337</c:v>
                </c:pt>
                <c:pt idx="2">
                  <c:v>603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Carrières'!$D$69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Carrières'!$E$69:$P$69</c:f>
              <c:numCache>
                <c:formatCode>#,##0</c:formatCode>
                <c:ptCount val="12"/>
                <c:pt idx="0">
                  <c:v>5850</c:v>
                </c:pt>
                <c:pt idx="1">
                  <c:v>8900</c:v>
                </c:pt>
                <c:pt idx="2">
                  <c:v>1200</c:v>
                </c:pt>
                <c:pt idx="3">
                  <c:v>8000</c:v>
                </c:pt>
                <c:pt idx="4">
                  <c:v>0</c:v>
                </c:pt>
                <c:pt idx="5">
                  <c:v>4800</c:v>
                </c:pt>
                <c:pt idx="6">
                  <c:v>2400</c:v>
                </c:pt>
                <c:pt idx="7">
                  <c:v>1100</c:v>
                </c:pt>
                <c:pt idx="8">
                  <c:v>2200</c:v>
                </c:pt>
                <c:pt idx="9">
                  <c:v>5400</c:v>
                </c:pt>
                <c:pt idx="10">
                  <c:v>3300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Carrières'!$D$70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Carrières'!$E$70:$P$70</c:f>
              <c:numCache>
                <c:formatCode>#,##0</c:formatCode>
                <c:ptCount val="12"/>
                <c:pt idx="0">
                  <c:v>5850</c:v>
                </c:pt>
                <c:pt idx="1">
                  <c:v>8900</c:v>
                </c:pt>
                <c:pt idx="2">
                  <c:v>1200</c:v>
                </c:pt>
                <c:pt idx="3">
                  <c:v>8000</c:v>
                </c:pt>
                <c:pt idx="4">
                  <c:v>0</c:v>
                </c:pt>
                <c:pt idx="5">
                  <c:v>4800</c:v>
                </c:pt>
                <c:pt idx="6">
                  <c:v>2400</c:v>
                </c:pt>
                <c:pt idx="7">
                  <c:v>1100</c:v>
                </c:pt>
                <c:pt idx="8">
                  <c:v>2200</c:v>
                </c:pt>
                <c:pt idx="9">
                  <c:v>5400</c:v>
                </c:pt>
                <c:pt idx="10">
                  <c:v>3300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79424"/>
        <c:axId val="111080960"/>
      </c:lineChart>
      <c:catAx>
        <c:axId val="11107942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1080960"/>
        <c:crosses val="autoZero"/>
        <c:auto val="1"/>
        <c:lblAlgn val="ctr"/>
        <c:lblOffset val="100"/>
        <c:noMultiLvlLbl val="0"/>
      </c:catAx>
      <c:valAx>
        <c:axId val="111080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1079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MONTROND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162031350138862E-2"/>
          <c:y val="0.193817409569812"/>
          <c:w val="0.77489006978565833"/>
          <c:h val="0.467410937277944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Carrières'!$D$66:$D$67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Carrières'!$Q$66:$Q$67</c:f>
              <c:numCache>
                <c:formatCode>#,##0</c:formatCode>
                <c:ptCount val="2"/>
                <c:pt idx="0">
                  <c:v>7314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9865914067506943"/>
          <c:y val="0.72247555298058086"/>
          <c:w val="0.15377601385031689"/>
          <c:h val="7.706568316501756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MONTROND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Carrières'!$D$71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Carrières'!$E$71:$P$71</c:f>
              <c:numCache>
                <c:formatCode>#,##0</c:formatCode>
                <c:ptCount val="12"/>
                <c:pt idx="0">
                  <c:v>2374</c:v>
                </c:pt>
                <c:pt idx="1">
                  <c:v>6711</c:v>
                </c:pt>
                <c:pt idx="2">
                  <c:v>7314</c:v>
                </c:pt>
                <c:pt idx="3">
                  <c:v>7314</c:v>
                </c:pt>
                <c:pt idx="4">
                  <c:v>7314</c:v>
                </c:pt>
                <c:pt idx="5">
                  <c:v>7314</c:v>
                </c:pt>
                <c:pt idx="6">
                  <c:v>7314</c:v>
                </c:pt>
                <c:pt idx="7">
                  <c:v>7314</c:v>
                </c:pt>
                <c:pt idx="8">
                  <c:v>7314</c:v>
                </c:pt>
                <c:pt idx="9">
                  <c:v>7314</c:v>
                </c:pt>
                <c:pt idx="10">
                  <c:v>7314</c:v>
                </c:pt>
                <c:pt idx="11">
                  <c:v>7314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Carrières'!$D$72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Carrières'!$E$72:$P$72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Carrières'!$D$73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Carrières'!$E$73:$P$73</c:f>
              <c:numCache>
                <c:formatCode>#,##0</c:formatCode>
                <c:ptCount val="12"/>
                <c:pt idx="0">
                  <c:v>2374</c:v>
                </c:pt>
                <c:pt idx="1">
                  <c:v>6711</c:v>
                </c:pt>
                <c:pt idx="2">
                  <c:v>7314</c:v>
                </c:pt>
                <c:pt idx="3">
                  <c:v>7314</c:v>
                </c:pt>
                <c:pt idx="4">
                  <c:v>7314</c:v>
                </c:pt>
                <c:pt idx="5">
                  <c:v>7314</c:v>
                </c:pt>
                <c:pt idx="6">
                  <c:v>7314</c:v>
                </c:pt>
                <c:pt idx="7">
                  <c:v>7314</c:v>
                </c:pt>
                <c:pt idx="8">
                  <c:v>7314</c:v>
                </c:pt>
                <c:pt idx="9">
                  <c:v>7314</c:v>
                </c:pt>
                <c:pt idx="10">
                  <c:v>7314</c:v>
                </c:pt>
                <c:pt idx="11">
                  <c:v>7314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Carrières'!$D$74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Carrières'!$E$74:$P$74</c:f>
              <c:numCache>
                <c:formatCode>#,##0</c:formatCode>
                <c:ptCount val="12"/>
                <c:pt idx="0">
                  <c:v>5850</c:v>
                </c:pt>
                <c:pt idx="1">
                  <c:v>14750</c:v>
                </c:pt>
                <c:pt idx="2">
                  <c:v>15950</c:v>
                </c:pt>
                <c:pt idx="3">
                  <c:v>23950</c:v>
                </c:pt>
                <c:pt idx="4">
                  <c:v>23950</c:v>
                </c:pt>
                <c:pt idx="5">
                  <c:v>28750</c:v>
                </c:pt>
                <c:pt idx="6">
                  <c:v>31150</c:v>
                </c:pt>
                <c:pt idx="7">
                  <c:v>32250</c:v>
                </c:pt>
                <c:pt idx="8">
                  <c:v>34450</c:v>
                </c:pt>
                <c:pt idx="9">
                  <c:v>39850</c:v>
                </c:pt>
                <c:pt idx="10">
                  <c:v>43150</c:v>
                </c:pt>
                <c:pt idx="11">
                  <c:v>43150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Carrières'!$D$75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Carrières'!$E$75:$P$75</c:f>
              <c:numCache>
                <c:formatCode>#,##0</c:formatCode>
                <c:ptCount val="12"/>
                <c:pt idx="0">
                  <c:v>5850</c:v>
                </c:pt>
                <c:pt idx="1">
                  <c:v>14750</c:v>
                </c:pt>
                <c:pt idx="2">
                  <c:v>15950</c:v>
                </c:pt>
                <c:pt idx="3">
                  <c:v>23950</c:v>
                </c:pt>
                <c:pt idx="4">
                  <c:v>23950</c:v>
                </c:pt>
                <c:pt idx="5">
                  <c:v>28750</c:v>
                </c:pt>
                <c:pt idx="6">
                  <c:v>31150</c:v>
                </c:pt>
                <c:pt idx="7">
                  <c:v>32250</c:v>
                </c:pt>
                <c:pt idx="8">
                  <c:v>34450</c:v>
                </c:pt>
                <c:pt idx="9">
                  <c:v>39850</c:v>
                </c:pt>
                <c:pt idx="10">
                  <c:v>43150</c:v>
                </c:pt>
                <c:pt idx="11">
                  <c:v>43150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48288"/>
        <c:axId val="111549824"/>
      </c:lineChart>
      <c:catAx>
        <c:axId val="11154828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1549824"/>
        <c:crosses val="autoZero"/>
        <c:auto val="1"/>
        <c:lblAlgn val="ctr"/>
        <c:lblOffset val="100"/>
        <c:noMultiLvlLbl val="0"/>
      </c:catAx>
      <c:valAx>
        <c:axId val="111549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15482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THOUARS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Carrières'!$D$78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Carrières'!$E$78:$P$78</c:f>
              <c:numCache>
                <c:formatCode>#,##0</c:formatCode>
                <c:ptCount val="12"/>
                <c:pt idx="0">
                  <c:v>15584</c:v>
                </c:pt>
                <c:pt idx="1">
                  <c:v>30149</c:v>
                </c:pt>
                <c:pt idx="2">
                  <c:v>31194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Carrières'!$D$79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Carrières'!$E$79:$P$79</c:f>
              <c:numCache>
                <c:formatCode>#,##0</c:formatCode>
                <c:ptCount val="12"/>
                <c:pt idx="0">
                  <c:v>395</c:v>
                </c:pt>
                <c:pt idx="1">
                  <c:v>6451</c:v>
                </c:pt>
                <c:pt idx="2">
                  <c:v>1002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Carrières'!$D$80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Carrières'!$E$80:$P$80</c:f>
              <c:numCache>
                <c:formatCode>#,##0</c:formatCode>
                <c:ptCount val="12"/>
                <c:pt idx="0">
                  <c:v>15979</c:v>
                </c:pt>
                <c:pt idx="1">
                  <c:v>36600</c:v>
                </c:pt>
                <c:pt idx="2">
                  <c:v>32196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Carrières'!$D$81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>
              <a:solidFill>
                <a:srgbClr val="CC3399"/>
              </a:solidFill>
              <a:prstDash val="sysDot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Carrières'!$E$81:$P$81</c:f>
              <c:numCache>
                <c:formatCode>#,##0</c:formatCode>
                <c:ptCount val="12"/>
                <c:pt idx="0">
                  <c:v>40300</c:v>
                </c:pt>
                <c:pt idx="1">
                  <c:v>36406</c:v>
                </c:pt>
                <c:pt idx="2">
                  <c:v>36100</c:v>
                </c:pt>
                <c:pt idx="3">
                  <c:v>24400</c:v>
                </c:pt>
                <c:pt idx="4">
                  <c:v>25500</c:v>
                </c:pt>
                <c:pt idx="5">
                  <c:v>32200</c:v>
                </c:pt>
                <c:pt idx="6">
                  <c:v>15200</c:v>
                </c:pt>
                <c:pt idx="7">
                  <c:v>20200</c:v>
                </c:pt>
                <c:pt idx="8">
                  <c:v>27800</c:v>
                </c:pt>
                <c:pt idx="9">
                  <c:v>35800</c:v>
                </c:pt>
                <c:pt idx="10">
                  <c:v>33800</c:v>
                </c:pt>
                <c:pt idx="11">
                  <c:v>12600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Carrières'!$D$82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Carrières'!$E$82:$P$82</c:f>
              <c:numCache>
                <c:formatCode>#,##0</c:formatCode>
                <c:ptCount val="12"/>
                <c:pt idx="0">
                  <c:v>40300</c:v>
                </c:pt>
                <c:pt idx="1">
                  <c:v>34206</c:v>
                </c:pt>
                <c:pt idx="2">
                  <c:v>39756</c:v>
                </c:pt>
                <c:pt idx="3">
                  <c:v>23600</c:v>
                </c:pt>
                <c:pt idx="4">
                  <c:v>19550</c:v>
                </c:pt>
                <c:pt idx="5">
                  <c:v>28400</c:v>
                </c:pt>
                <c:pt idx="6">
                  <c:v>18200</c:v>
                </c:pt>
                <c:pt idx="7">
                  <c:v>19600</c:v>
                </c:pt>
                <c:pt idx="8">
                  <c:v>29800</c:v>
                </c:pt>
                <c:pt idx="9">
                  <c:v>42154</c:v>
                </c:pt>
                <c:pt idx="10">
                  <c:v>35600</c:v>
                </c:pt>
                <c:pt idx="11">
                  <c:v>17200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23008"/>
        <c:axId val="111324544"/>
      </c:lineChart>
      <c:catAx>
        <c:axId val="11132300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1324544"/>
        <c:crosses val="autoZero"/>
        <c:auto val="1"/>
        <c:lblAlgn val="ctr"/>
        <c:lblOffset val="100"/>
        <c:noMultiLvlLbl val="0"/>
      </c:catAx>
      <c:valAx>
        <c:axId val="111324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1323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THOUARS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799184676383535E-2"/>
          <c:y val="0.16232060590403399"/>
          <c:w val="0.7603250125649188"/>
          <c:h val="0.454736635380951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Carrières'!$D$78:$D$79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Carrières'!$Q$78:$Q$79</c:f>
              <c:numCache>
                <c:formatCode>#,##0</c:formatCode>
                <c:ptCount val="2"/>
                <c:pt idx="0">
                  <c:v>76927</c:v>
                </c:pt>
                <c:pt idx="1">
                  <c:v>7848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2436309822974263"/>
          <c:y val="0.70658132245672822"/>
          <c:w val="0.1543603060255766"/>
          <c:h val="7.670257707606514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THOUARS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Carrières'!$D$83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Carrières'!$E$83:$P$83</c:f>
              <c:numCache>
                <c:formatCode>#,##0</c:formatCode>
                <c:ptCount val="12"/>
                <c:pt idx="0">
                  <c:v>15584</c:v>
                </c:pt>
                <c:pt idx="1">
                  <c:v>45733</c:v>
                </c:pt>
                <c:pt idx="2">
                  <c:v>76927</c:v>
                </c:pt>
                <c:pt idx="3">
                  <c:v>76927</c:v>
                </c:pt>
                <c:pt idx="4">
                  <c:v>76927</c:v>
                </c:pt>
                <c:pt idx="5">
                  <c:v>76927</c:v>
                </c:pt>
                <c:pt idx="6">
                  <c:v>76927</c:v>
                </c:pt>
                <c:pt idx="7">
                  <c:v>76927</c:v>
                </c:pt>
                <c:pt idx="8">
                  <c:v>76927</c:v>
                </c:pt>
                <c:pt idx="9">
                  <c:v>76927</c:v>
                </c:pt>
                <c:pt idx="10">
                  <c:v>76927</c:v>
                </c:pt>
                <c:pt idx="11">
                  <c:v>76927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Carrières'!$D$84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Carrières'!$E$84:$P$84</c:f>
              <c:numCache>
                <c:formatCode>#,##0</c:formatCode>
                <c:ptCount val="12"/>
                <c:pt idx="0">
                  <c:v>395</c:v>
                </c:pt>
                <c:pt idx="1">
                  <c:v>6846</c:v>
                </c:pt>
                <c:pt idx="2">
                  <c:v>7848</c:v>
                </c:pt>
                <c:pt idx="3">
                  <c:v>7848</c:v>
                </c:pt>
                <c:pt idx="4">
                  <c:v>7848</c:v>
                </c:pt>
                <c:pt idx="5">
                  <c:v>7848</c:v>
                </c:pt>
                <c:pt idx="6">
                  <c:v>7848</c:v>
                </c:pt>
                <c:pt idx="7">
                  <c:v>7848</c:v>
                </c:pt>
                <c:pt idx="8">
                  <c:v>7848</c:v>
                </c:pt>
                <c:pt idx="9">
                  <c:v>7848</c:v>
                </c:pt>
                <c:pt idx="10">
                  <c:v>7848</c:v>
                </c:pt>
                <c:pt idx="11">
                  <c:v>6846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Carrières'!$D$85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Carrières'!$E$85:$P$85</c:f>
              <c:numCache>
                <c:formatCode>#,##0</c:formatCode>
                <c:ptCount val="12"/>
                <c:pt idx="0">
                  <c:v>15979</c:v>
                </c:pt>
                <c:pt idx="1">
                  <c:v>52579</c:v>
                </c:pt>
                <c:pt idx="2">
                  <c:v>84775</c:v>
                </c:pt>
                <c:pt idx="3">
                  <c:v>84775</c:v>
                </c:pt>
                <c:pt idx="4">
                  <c:v>84775</c:v>
                </c:pt>
                <c:pt idx="5">
                  <c:v>84775</c:v>
                </c:pt>
                <c:pt idx="6">
                  <c:v>84775</c:v>
                </c:pt>
                <c:pt idx="7">
                  <c:v>84775</c:v>
                </c:pt>
                <c:pt idx="8">
                  <c:v>84775</c:v>
                </c:pt>
                <c:pt idx="9">
                  <c:v>84775</c:v>
                </c:pt>
                <c:pt idx="10">
                  <c:v>84775</c:v>
                </c:pt>
                <c:pt idx="11">
                  <c:v>84775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Carrières'!$D$86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Carrières'!$E$86:$P$86</c:f>
              <c:numCache>
                <c:formatCode>#,##0</c:formatCode>
                <c:ptCount val="12"/>
                <c:pt idx="0">
                  <c:v>40300</c:v>
                </c:pt>
                <c:pt idx="1">
                  <c:v>76706</c:v>
                </c:pt>
                <c:pt idx="2">
                  <c:v>112806</c:v>
                </c:pt>
                <c:pt idx="3">
                  <c:v>137206</c:v>
                </c:pt>
                <c:pt idx="4">
                  <c:v>162706</c:v>
                </c:pt>
                <c:pt idx="5">
                  <c:v>194906</c:v>
                </c:pt>
                <c:pt idx="6">
                  <c:v>210106</c:v>
                </c:pt>
                <c:pt idx="7">
                  <c:v>230306</c:v>
                </c:pt>
                <c:pt idx="8">
                  <c:v>258106</c:v>
                </c:pt>
                <c:pt idx="9">
                  <c:v>293906</c:v>
                </c:pt>
                <c:pt idx="10">
                  <c:v>327706</c:v>
                </c:pt>
                <c:pt idx="11">
                  <c:v>340306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Carrières'!$D$87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Carrières'!$E$87:$P$87</c:f>
              <c:numCache>
                <c:formatCode>#,##0</c:formatCode>
                <c:ptCount val="12"/>
                <c:pt idx="0">
                  <c:v>40300</c:v>
                </c:pt>
                <c:pt idx="1">
                  <c:v>74506</c:v>
                </c:pt>
                <c:pt idx="2">
                  <c:v>114262</c:v>
                </c:pt>
                <c:pt idx="3">
                  <c:v>137862</c:v>
                </c:pt>
                <c:pt idx="4">
                  <c:v>157412</c:v>
                </c:pt>
                <c:pt idx="5">
                  <c:v>185812</c:v>
                </c:pt>
                <c:pt idx="6">
                  <c:v>204012</c:v>
                </c:pt>
                <c:pt idx="7">
                  <c:v>223612</c:v>
                </c:pt>
                <c:pt idx="8">
                  <c:v>253412</c:v>
                </c:pt>
                <c:pt idx="9">
                  <c:v>295566</c:v>
                </c:pt>
                <c:pt idx="10">
                  <c:v>331166</c:v>
                </c:pt>
                <c:pt idx="11">
                  <c:v>348366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94816"/>
        <c:axId val="111396352"/>
      </c:lineChart>
      <c:catAx>
        <c:axId val="11139481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1396352"/>
        <c:crosses val="autoZero"/>
        <c:auto val="1"/>
        <c:lblAlgn val="ctr"/>
        <c:lblOffset val="100"/>
        <c:noMultiLvlLbl val="0"/>
      </c:catAx>
      <c:valAx>
        <c:axId val="111396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13948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VERNEUIL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Carrières'!$D$90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Carrières'!$E$90:$P$90</c:f>
              <c:numCache>
                <c:formatCode>#,##0</c:formatCode>
                <c:ptCount val="12"/>
                <c:pt idx="0">
                  <c:v>10742</c:v>
                </c:pt>
                <c:pt idx="1">
                  <c:v>4028</c:v>
                </c:pt>
                <c:pt idx="2">
                  <c:v>3093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Carrières'!$D$91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Carrières'!$E$91:$P$91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Carrières'!$D$92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Carrières'!$E$92:$P$92</c:f>
              <c:numCache>
                <c:formatCode>#,##0</c:formatCode>
                <c:ptCount val="12"/>
                <c:pt idx="0">
                  <c:v>10742</c:v>
                </c:pt>
                <c:pt idx="1">
                  <c:v>4028</c:v>
                </c:pt>
                <c:pt idx="2">
                  <c:v>3093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Carrières'!$D$93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>
              <a:solidFill>
                <a:srgbClr val="CC3399"/>
              </a:solidFill>
              <a:prstDash val="sysDot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Carrières'!$E$93:$P$93</c:f>
              <c:numCache>
                <c:formatCode>#,##0</c:formatCode>
                <c:ptCount val="12"/>
                <c:pt idx="0">
                  <c:v>15600</c:v>
                </c:pt>
                <c:pt idx="1">
                  <c:v>7900</c:v>
                </c:pt>
                <c:pt idx="2">
                  <c:v>4100</c:v>
                </c:pt>
                <c:pt idx="3">
                  <c:v>7900</c:v>
                </c:pt>
                <c:pt idx="4">
                  <c:v>19300</c:v>
                </c:pt>
                <c:pt idx="5">
                  <c:v>16200</c:v>
                </c:pt>
                <c:pt idx="6">
                  <c:v>14144</c:v>
                </c:pt>
                <c:pt idx="7">
                  <c:v>9200</c:v>
                </c:pt>
                <c:pt idx="8">
                  <c:v>9300</c:v>
                </c:pt>
                <c:pt idx="9">
                  <c:v>12200</c:v>
                </c:pt>
                <c:pt idx="10">
                  <c:v>16000</c:v>
                </c:pt>
                <c:pt idx="11">
                  <c:v>8000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Carrières'!$D$94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Carrières'!$E$94:$P$94</c:f>
              <c:numCache>
                <c:formatCode>#,##0</c:formatCode>
                <c:ptCount val="12"/>
                <c:pt idx="0">
                  <c:v>15600</c:v>
                </c:pt>
                <c:pt idx="1">
                  <c:v>9100</c:v>
                </c:pt>
                <c:pt idx="2">
                  <c:v>6500</c:v>
                </c:pt>
                <c:pt idx="3">
                  <c:v>27100</c:v>
                </c:pt>
                <c:pt idx="4">
                  <c:v>18500</c:v>
                </c:pt>
                <c:pt idx="5">
                  <c:v>20200</c:v>
                </c:pt>
                <c:pt idx="6">
                  <c:v>26644</c:v>
                </c:pt>
                <c:pt idx="7">
                  <c:v>14400</c:v>
                </c:pt>
                <c:pt idx="8">
                  <c:v>1600</c:v>
                </c:pt>
                <c:pt idx="9">
                  <c:v>700</c:v>
                </c:pt>
                <c:pt idx="10">
                  <c:v>16000</c:v>
                </c:pt>
                <c:pt idx="11">
                  <c:v>8000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55232"/>
        <c:axId val="111465216"/>
      </c:lineChart>
      <c:catAx>
        <c:axId val="11145523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1465216"/>
        <c:crosses val="autoZero"/>
        <c:auto val="1"/>
        <c:lblAlgn val="ctr"/>
        <c:lblOffset val="100"/>
        <c:noMultiLvlLbl val="0"/>
      </c:catAx>
      <c:valAx>
        <c:axId val="111465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14552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VERNUEIL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576916804173811E-2"/>
          <c:y val="0.15961773320573444"/>
          <c:w val="0.76089232989377942"/>
          <c:h val="0.45923009035497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Carrières'!$D$90:$D$91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Carrières'!$Q$90:$Q$91</c:f>
              <c:numCache>
                <c:formatCode>#,##0</c:formatCode>
                <c:ptCount val="2"/>
                <c:pt idx="0">
                  <c:v>17863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4182001757609387"/>
          <c:y val="0.6733616400762038"/>
          <c:w val="0.15359661169807681"/>
          <c:h val="7.701980672691226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VERNUEIL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Carrières'!$D$95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Carrières'!$E$95:$P$95</c:f>
              <c:numCache>
                <c:formatCode>#,##0</c:formatCode>
                <c:ptCount val="12"/>
                <c:pt idx="0">
                  <c:v>10742</c:v>
                </c:pt>
                <c:pt idx="1">
                  <c:v>14770</c:v>
                </c:pt>
                <c:pt idx="2">
                  <c:v>17863</c:v>
                </c:pt>
                <c:pt idx="3">
                  <c:v>17863</c:v>
                </c:pt>
                <c:pt idx="4">
                  <c:v>17863</c:v>
                </c:pt>
                <c:pt idx="5">
                  <c:v>17863</c:v>
                </c:pt>
                <c:pt idx="6">
                  <c:v>17863</c:v>
                </c:pt>
                <c:pt idx="7">
                  <c:v>17863</c:v>
                </c:pt>
                <c:pt idx="8">
                  <c:v>17863</c:v>
                </c:pt>
                <c:pt idx="9">
                  <c:v>17863</c:v>
                </c:pt>
                <c:pt idx="10">
                  <c:v>17863</c:v>
                </c:pt>
                <c:pt idx="11">
                  <c:v>17863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Carrières'!$D$96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Carrières'!$E$96:$P$96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Carrières'!$D$97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Carrières'!$E$97:$P$97</c:f>
              <c:numCache>
                <c:formatCode>#,##0</c:formatCode>
                <c:ptCount val="12"/>
                <c:pt idx="0">
                  <c:v>10742</c:v>
                </c:pt>
                <c:pt idx="1">
                  <c:v>14770</c:v>
                </c:pt>
                <c:pt idx="2">
                  <c:v>17863</c:v>
                </c:pt>
                <c:pt idx="3">
                  <c:v>17863</c:v>
                </c:pt>
                <c:pt idx="4">
                  <c:v>17863</c:v>
                </c:pt>
                <c:pt idx="5">
                  <c:v>17863</c:v>
                </c:pt>
                <c:pt idx="6">
                  <c:v>17863</c:v>
                </c:pt>
                <c:pt idx="7">
                  <c:v>17863</c:v>
                </c:pt>
                <c:pt idx="8">
                  <c:v>17863</c:v>
                </c:pt>
                <c:pt idx="9">
                  <c:v>17863</c:v>
                </c:pt>
                <c:pt idx="10">
                  <c:v>17863</c:v>
                </c:pt>
                <c:pt idx="11">
                  <c:v>17863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Carrières'!$D$98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Carrières'!$E$98:$P$98</c:f>
              <c:numCache>
                <c:formatCode>#,##0</c:formatCode>
                <c:ptCount val="12"/>
                <c:pt idx="0">
                  <c:v>15600</c:v>
                </c:pt>
                <c:pt idx="1">
                  <c:v>23500</c:v>
                </c:pt>
                <c:pt idx="2">
                  <c:v>27600</c:v>
                </c:pt>
                <c:pt idx="3">
                  <c:v>35500</c:v>
                </c:pt>
                <c:pt idx="4">
                  <c:v>54800</c:v>
                </c:pt>
                <c:pt idx="5">
                  <c:v>71000</c:v>
                </c:pt>
                <c:pt idx="6">
                  <c:v>85144</c:v>
                </c:pt>
                <c:pt idx="7">
                  <c:v>94344</c:v>
                </c:pt>
                <c:pt idx="8">
                  <c:v>103644</c:v>
                </c:pt>
                <c:pt idx="9">
                  <c:v>115844</c:v>
                </c:pt>
                <c:pt idx="10">
                  <c:v>131844</c:v>
                </c:pt>
                <c:pt idx="11">
                  <c:v>139844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Carrières'!$D$99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Carrières'!$E$99:$P$99</c:f>
              <c:numCache>
                <c:formatCode>#,##0</c:formatCode>
                <c:ptCount val="12"/>
                <c:pt idx="0">
                  <c:v>15600</c:v>
                </c:pt>
                <c:pt idx="1">
                  <c:v>24700</c:v>
                </c:pt>
                <c:pt idx="2">
                  <c:v>31200</c:v>
                </c:pt>
                <c:pt idx="3">
                  <c:v>58300</c:v>
                </c:pt>
                <c:pt idx="4">
                  <c:v>76800</c:v>
                </c:pt>
                <c:pt idx="5">
                  <c:v>97000</c:v>
                </c:pt>
                <c:pt idx="6">
                  <c:v>123644</c:v>
                </c:pt>
                <c:pt idx="7">
                  <c:v>138044</c:v>
                </c:pt>
                <c:pt idx="8">
                  <c:v>139644</c:v>
                </c:pt>
                <c:pt idx="9">
                  <c:v>140344</c:v>
                </c:pt>
                <c:pt idx="10">
                  <c:v>156344</c:v>
                </c:pt>
                <c:pt idx="11">
                  <c:v>164344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04224"/>
        <c:axId val="109205760"/>
      </c:lineChart>
      <c:catAx>
        <c:axId val="10920422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09205760"/>
        <c:crosses val="autoZero"/>
        <c:auto val="1"/>
        <c:lblAlgn val="ctr"/>
        <c:lblOffset val="100"/>
        <c:noMultiLvlLbl val="0"/>
      </c:catAx>
      <c:valAx>
        <c:axId val="109205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092042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EPIRY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Carrières'!$D$102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Carrières'!$E$102:$P$102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Carrières'!$D$103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Carrières'!$E$103:$P$103</c:f>
              <c:numCache>
                <c:formatCode>#,##0</c:formatCode>
                <c:ptCount val="12"/>
                <c:pt idx="0">
                  <c:v>0</c:v>
                </c:pt>
                <c:pt idx="1">
                  <c:v>12004</c:v>
                </c:pt>
                <c:pt idx="2">
                  <c:v>3091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Carrières'!$D$104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Carrières'!$E$104:$P$104</c:f>
              <c:numCache>
                <c:formatCode>#,##0</c:formatCode>
                <c:ptCount val="12"/>
                <c:pt idx="0">
                  <c:v>0</c:v>
                </c:pt>
                <c:pt idx="1">
                  <c:v>12004</c:v>
                </c:pt>
                <c:pt idx="2">
                  <c:v>3091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Carrières'!$D$105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Carrières'!$E$105:$P$105</c:f>
              <c:numCache>
                <c:formatCode>#,##0</c:formatCode>
                <c:ptCount val="12"/>
                <c:pt idx="0">
                  <c:v>0</c:v>
                </c:pt>
                <c:pt idx="1">
                  <c:v>2400</c:v>
                </c:pt>
                <c:pt idx="2">
                  <c:v>8200</c:v>
                </c:pt>
                <c:pt idx="3">
                  <c:v>6200</c:v>
                </c:pt>
                <c:pt idx="4">
                  <c:v>5400</c:v>
                </c:pt>
                <c:pt idx="5">
                  <c:v>3000</c:v>
                </c:pt>
                <c:pt idx="6">
                  <c:v>10000</c:v>
                </c:pt>
                <c:pt idx="7">
                  <c:v>7200</c:v>
                </c:pt>
                <c:pt idx="8">
                  <c:v>4800</c:v>
                </c:pt>
                <c:pt idx="9">
                  <c:v>2400</c:v>
                </c:pt>
                <c:pt idx="10">
                  <c:v>1200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Carrières'!$D$106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Carrières'!$E$106:$P$106</c:f>
              <c:numCache>
                <c:formatCode>#,##0</c:formatCode>
                <c:ptCount val="12"/>
                <c:pt idx="0">
                  <c:v>0</c:v>
                </c:pt>
                <c:pt idx="1">
                  <c:v>6300</c:v>
                </c:pt>
                <c:pt idx="2">
                  <c:v>8600</c:v>
                </c:pt>
                <c:pt idx="3">
                  <c:v>10700</c:v>
                </c:pt>
                <c:pt idx="4">
                  <c:v>0</c:v>
                </c:pt>
                <c:pt idx="5">
                  <c:v>5000</c:v>
                </c:pt>
                <c:pt idx="6">
                  <c:v>10000</c:v>
                </c:pt>
                <c:pt idx="7">
                  <c:v>10200</c:v>
                </c:pt>
                <c:pt idx="8">
                  <c:v>9000</c:v>
                </c:pt>
                <c:pt idx="9">
                  <c:v>8800</c:v>
                </c:pt>
                <c:pt idx="10">
                  <c:v>4200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14144"/>
        <c:axId val="109815680"/>
      </c:lineChart>
      <c:catAx>
        <c:axId val="1098141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9815680"/>
        <c:crosses val="autoZero"/>
        <c:auto val="1"/>
        <c:lblAlgn val="ctr"/>
        <c:lblOffset val="100"/>
        <c:noMultiLvlLbl val="0"/>
      </c:catAx>
      <c:valAx>
        <c:axId val="109815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098141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EPIRY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745049670126306E-2"/>
          <c:y val="0.19039033776136696"/>
          <c:w val="0.70848218059194867"/>
          <c:h val="0.42774153498227141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Carrières'!$D$102:$D$103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Carrières'!$Q$102:$Q$103</c:f>
              <c:numCache>
                <c:formatCode>#,##0</c:formatCode>
                <c:ptCount val="2"/>
                <c:pt idx="0">
                  <c:v>0</c:v>
                </c:pt>
                <c:pt idx="1">
                  <c:v>15095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5898566617582295"/>
          <c:y val="0.69699998959215692"/>
          <c:w val="0.15371102352046195"/>
          <c:h val="7.710298023550599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EPIRY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Carrières'!$D$107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Carrières'!$E$107:$P$107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Carrières'!$D$108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Carrières'!$E$108:$P$108</c:f>
              <c:numCache>
                <c:formatCode>#,##0</c:formatCode>
                <c:ptCount val="12"/>
                <c:pt idx="0">
                  <c:v>0</c:v>
                </c:pt>
                <c:pt idx="1">
                  <c:v>12004</c:v>
                </c:pt>
                <c:pt idx="2">
                  <c:v>15095</c:v>
                </c:pt>
                <c:pt idx="3">
                  <c:v>15095</c:v>
                </c:pt>
                <c:pt idx="4">
                  <c:v>15095</c:v>
                </c:pt>
                <c:pt idx="5">
                  <c:v>15095</c:v>
                </c:pt>
                <c:pt idx="6">
                  <c:v>15095</c:v>
                </c:pt>
                <c:pt idx="7">
                  <c:v>15095</c:v>
                </c:pt>
                <c:pt idx="8">
                  <c:v>15095</c:v>
                </c:pt>
                <c:pt idx="9">
                  <c:v>15095</c:v>
                </c:pt>
                <c:pt idx="10">
                  <c:v>15095</c:v>
                </c:pt>
                <c:pt idx="11">
                  <c:v>15095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Carrières'!$D$109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Carrières'!$E$109:$P$109</c:f>
              <c:numCache>
                <c:formatCode>#,##0</c:formatCode>
                <c:ptCount val="12"/>
                <c:pt idx="0">
                  <c:v>0</c:v>
                </c:pt>
                <c:pt idx="1">
                  <c:v>12004</c:v>
                </c:pt>
                <c:pt idx="2">
                  <c:v>15095</c:v>
                </c:pt>
                <c:pt idx="3">
                  <c:v>15095</c:v>
                </c:pt>
                <c:pt idx="4">
                  <c:v>15095</c:v>
                </c:pt>
                <c:pt idx="5">
                  <c:v>15095</c:v>
                </c:pt>
                <c:pt idx="6">
                  <c:v>15095</c:v>
                </c:pt>
                <c:pt idx="7">
                  <c:v>15095</c:v>
                </c:pt>
                <c:pt idx="8">
                  <c:v>15095</c:v>
                </c:pt>
                <c:pt idx="9">
                  <c:v>15095</c:v>
                </c:pt>
                <c:pt idx="10">
                  <c:v>15095</c:v>
                </c:pt>
                <c:pt idx="11">
                  <c:v>15095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Carrières'!$D$110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Carrières'!$E$110:$P$110</c:f>
              <c:numCache>
                <c:formatCode>#,##0</c:formatCode>
                <c:ptCount val="12"/>
                <c:pt idx="0">
                  <c:v>0</c:v>
                </c:pt>
                <c:pt idx="1">
                  <c:v>2400</c:v>
                </c:pt>
                <c:pt idx="2">
                  <c:v>10600</c:v>
                </c:pt>
                <c:pt idx="3">
                  <c:v>16800</c:v>
                </c:pt>
                <c:pt idx="4">
                  <c:v>22200</c:v>
                </c:pt>
                <c:pt idx="5">
                  <c:v>25200</c:v>
                </c:pt>
                <c:pt idx="6">
                  <c:v>35200</c:v>
                </c:pt>
                <c:pt idx="7">
                  <c:v>42400</c:v>
                </c:pt>
                <c:pt idx="8">
                  <c:v>47200</c:v>
                </c:pt>
                <c:pt idx="9">
                  <c:v>49600</c:v>
                </c:pt>
                <c:pt idx="10">
                  <c:v>50800</c:v>
                </c:pt>
                <c:pt idx="11">
                  <c:v>50800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Carrières'!$D$111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Carrières'!$E$111:$P$111</c:f>
              <c:numCache>
                <c:formatCode>#,##0</c:formatCode>
                <c:ptCount val="12"/>
                <c:pt idx="0">
                  <c:v>0</c:v>
                </c:pt>
                <c:pt idx="1">
                  <c:v>6300</c:v>
                </c:pt>
                <c:pt idx="2">
                  <c:v>14900</c:v>
                </c:pt>
                <c:pt idx="3">
                  <c:v>25600</c:v>
                </c:pt>
                <c:pt idx="4">
                  <c:v>25600</c:v>
                </c:pt>
                <c:pt idx="5">
                  <c:v>30600</c:v>
                </c:pt>
                <c:pt idx="6">
                  <c:v>40600</c:v>
                </c:pt>
                <c:pt idx="7">
                  <c:v>50800</c:v>
                </c:pt>
                <c:pt idx="8">
                  <c:v>59800</c:v>
                </c:pt>
                <c:pt idx="9">
                  <c:v>68600</c:v>
                </c:pt>
                <c:pt idx="10">
                  <c:v>72800</c:v>
                </c:pt>
                <c:pt idx="11">
                  <c:v>72800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91360"/>
        <c:axId val="112192896"/>
      </c:lineChart>
      <c:catAx>
        <c:axId val="11219136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2192896"/>
        <c:crosses val="autoZero"/>
        <c:auto val="1"/>
        <c:lblAlgn val="ctr"/>
        <c:lblOffset val="100"/>
        <c:noMultiLvlLbl val="0"/>
      </c:catAx>
      <c:valAx>
        <c:axId val="112192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21913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GIROMAGNY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Carrières'!$D$114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Carrières'!$E$113:$P$113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Carrières'!$E$114:$P$114</c:f>
              <c:numCache>
                <c:formatCode>#,##0</c:formatCode>
                <c:ptCount val="12"/>
                <c:pt idx="0">
                  <c:v>0</c:v>
                </c:pt>
                <c:pt idx="1">
                  <c:v>566</c:v>
                </c:pt>
                <c:pt idx="2">
                  <c:v>545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Carrières'!$D$115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Carrières'!$E$113:$P$113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Carrières'!$E$115:$P$115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Carrières'!$D$116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Carrières'!$E$113:$P$113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Carrières'!$E$116:$P$116</c:f>
              <c:numCache>
                <c:formatCode>#,##0</c:formatCode>
                <c:ptCount val="12"/>
                <c:pt idx="0">
                  <c:v>0</c:v>
                </c:pt>
                <c:pt idx="1">
                  <c:v>566</c:v>
                </c:pt>
                <c:pt idx="2">
                  <c:v>545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Carrières'!$D$117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Carrières'!$E$113:$P$113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Carrières'!$E$117:$P$117</c:f>
              <c:numCache>
                <c:formatCode>#,##0</c:formatCode>
                <c:ptCount val="12"/>
                <c:pt idx="0">
                  <c:v>0</c:v>
                </c:pt>
                <c:pt idx="1">
                  <c:v>3400</c:v>
                </c:pt>
                <c:pt idx="2">
                  <c:v>0</c:v>
                </c:pt>
                <c:pt idx="3">
                  <c:v>2800</c:v>
                </c:pt>
                <c:pt idx="4">
                  <c:v>4000</c:v>
                </c:pt>
                <c:pt idx="5">
                  <c:v>0</c:v>
                </c:pt>
                <c:pt idx="6">
                  <c:v>0</c:v>
                </c:pt>
                <c:pt idx="7">
                  <c:v>5200</c:v>
                </c:pt>
                <c:pt idx="8">
                  <c:v>6000</c:v>
                </c:pt>
                <c:pt idx="9">
                  <c:v>13000</c:v>
                </c:pt>
                <c:pt idx="10">
                  <c:v>12000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Carrières'!$D$118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Carrières'!$E$113:$P$113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Carrières'!$E$118:$P$118</c:f>
              <c:numCache>
                <c:formatCode>#,##0</c:formatCode>
                <c:ptCount val="12"/>
                <c:pt idx="0">
                  <c:v>0</c:v>
                </c:pt>
                <c:pt idx="1">
                  <c:v>3400</c:v>
                </c:pt>
                <c:pt idx="2">
                  <c:v>0</c:v>
                </c:pt>
                <c:pt idx="3">
                  <c:v>2800</c:v>
                </c:pt>
                <c:pt idx="4">
                  <c:v>4000</c:v>
                </c:pt>
                <c:pt idx="5">
                  <c:v>0</c:v>
                </c:pt>
                <c:pt idx="6">
                  <c:v>10250</c:v>
                </c:pt>
                <c:pt idx="7">
                  <c:v>7200</c:v>
                </c:pt>
                <c:pt idx="8">
                  <c:v>6000</c:v>
                </c:pt>
                <c:pt idx="9">
                  <c:v>13000</c:v>
                </c:pt>
                <c:pt idx="10">
                  <c:v>12000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9456"/>
        <c:axId val="112260992"/>
      </c:lineChart>
      <c:catAx>
        <c:axId val="11225945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2260992"/>
        <c:crosses val="autoZero"/>
        <c:auto val="1"/>
        <c:lblAlgn val="ctr"/>
        <c:lblOffset val="100"/>
        <c:noMultiLvlLbl val="0"/>
      </c:catAx>
      <c:valAx>
        <c:axId val="112260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2259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GIROMAGNY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820246825254876E-2"/>
          <c:y val="0.152522584166386"/>
          <c:w val="0.76799283241720395"/>
          <c:h val="0.4645732563412074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1"/>
              <c:layout>
                <c:manualLayout>
                  <c:x val="-2.2382372339474155E-2"/>
                  <c:y val="7.4615884206594325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Carrières'!$D$114:$D$115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Carrières'!$Q$114:$Q$115</c:f>
              <c:numCache>
                <c:formatCode>#,##0</c:formatCode>
                <c:ptCount val="2"/>
                <c:pt idx="0">
                  <c:v>1111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3855775169857932"/>
          <c:y val="0.6523510167587403"/>
          <c:w val="0.15353480032527406"/>
          <c:h val="7.716449632805620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GIROMAGNY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Carrières'!$D$23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Carrières'!$E$23:$P$23</c:f>
              <c:numCache>
                <c:formatCode>#,##0</c:formatCode>
                <c:ptCount val="12"/>
                <c:pt idx="0">
                  <c:v>5555</c:v>
                </c:pt>
                <c:pt idx="1">
                  <c:v>16352</c:v>
                </c:pt>
                <c:pt idx="2">
                  <c:v>28102</c:v>
                </c:pt>
                <c:pt idx="3">
                  <c:v>28102</c:v>
                </c:pt>
                <c:pt idx="4">
                  <c:v>28102</c:v>
                </c:pt>
                <c:pt idx="5">
                  <c:v>28102</c:v>
                </c:pt>
                <c:pt idx="6">
                  <c:v>28102</c:v>
                </c:pt>
                <c:pt idx="7">
                  <c:v>28102</c:v>
                </c:pt>
                <c:pt idx="8">
                  <c:v>28102</c:v>
                </c:pt>
                <c:pt idx="9">
                  <c:v>28102</c:v>
                </c:pt>
                <c:pt idx="10">
                  <c:v>28102</c:v>
                </c:pt>
                <c:pt idx="11">
                  <c:v>28102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Carrières'!$D$24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Carrières'!$E$24:$P$24</c:f>
              <c:numCache>
                <c:formatCode>#,##0</c:formatCode>
                <c:ptCount val="12"/>
                <c:pt idx="0">
                  <c:v>7218</c:v>
                </c:pt>
                <c:pt idx="1">
                  <c:v>20252</c:v>
                </c:pt>
                <c:pt idx="2">
                  <c:v>24812</c:v>
                </c:pt>
                <c:pt idx="3">
                  <c:v>24812</c:v>
                </c:pt>
                <c:pt idx="4">
                  <c:v>24812</c:v>
                </c:pt>
                <c:pt idx="5">
                  <c:v>24812</c:v>
                </c:pt>
                <c:pt idx="6">
                  <c:v>24812</c:v>
                </c:pt>
                <c:pt idx="7">
                  <c:v>24812</c:v>
                </c:pt>
                <c:pt idx="8">
                  <c:v>24812</c:v>
                </c:pt>
                <c:pt idx="9">
                  <c:v>24812</c:v>
                </c:pt>
                <c:pt idx="10">
                  <c:v>24812</c:v>
                </c:pt>
                <c:pt idx="11">
                  <c:v>24812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Carrières'!$D$25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Carrières'!$E$25:$P$25</c:f>
              <c:numCache>
                <c:formatCode>#,##0</c:formatCode>
                <c:ptCount val="12"/>
                <c:pt idx="0">
                  <c:v>12773</c:v>
                </c:pt>
                <c:pt idx="1">
                  <c:v>36604</c:v>
                </c:pt>
                <c:pt idx="2">
                  <c:v>52914</c:v>
                </c:pt>
                <c:pt idx="3">
                  <c:v>52914</c:v>
                </c:pt>
                <c:pt idx="4">
                  <c:v>52914</c:v>
                </c:pt>
                <c:pt idx="5">
                  <c:v>52914</c:v>
                </c:pt>
                <c:pt idx="6">
                  <c:v>52914</c:v>
                </c:pt>
                <c:pt idx="7">
                  <c:v>52914</c:v>
                </c:pt>
                <c:pt idx="8">
                  <c:v>52914</c:v>
                </c:pt>
                <c:pt idx="9">
                  <c:v>52914</c:v>
                </c:pt>
                <c:pt idx="10">
                  <c:v>52914</c:v>
                </c:pt>
                <c:pt idx="11">
                  <c:v>52914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Carrières'!$D$26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Carrières'!$E$26:$P$26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41450</c:v>
                </c:pt>
                <c:pt idx="3">
                  <c:v>68950</c:v>
                </c:pt>
                <c:pt idx="4">
                  <c:v>92350</c:v>
                </c:pt>
                <c:pt idx="5">
                  <c:v>100550</c:v>
                </c:pt>
                <c:pt idx="6">
                  <c:v>100550</c:v>
                </c:pt>
                <c:pt idx="7">
                  <c:v>106550</c:v>
                </c:pt>
                <c:pt idx="8">
                  <c:v>111485</c:v>
                </c:pt>
                <c:pt idx="9">
                  <c:v>115085</c:v>
                </c:pt>
                <c:pt idx="10">
                  <c:v>124685</c:v>
                </c:pt>
                <c:pt idx="11">
                  <c:v>129485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Carrières'!$D$27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Carrières'!$E$27:$P$27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42650</c:v>
                </c:pt>
                <c:pt idx="3">
                  <c:v>70950</c:v>
                </c:pt>
                <c:pt idx="4">
                  <c:v>94570</c:v>
                </c:pt>
                <c:pt idx="5">
                  <c:v>102770</c:v>
                </c:pt>
                <c:pt idx="6">
                  <c:v>102770</c:v>
                </c:pt>
                <c:pt idx="7">
                  <c:v>108770</c:v>
                </c:pt>
                <c:pt idx="8">
                  <c:v>113705</c:v>
                </c:pt>
                <c:pt idx="9">
                  <c:v>117305</c:v>
                </c:pt>
                <c:pt idx="10">
                  <c:v>126905</c:v>
                </c:pt>
                <c:pt idx="11">
                  <c:v>131705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08832"/>
        <c:axId val="112410624"/>
      </c:lineChart>
      <c:catAx>
        <c:axId val="11240883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2410624"/>
        <c:crosses val="autoZero"/>
        <c:auto val="1"/>
        <c:lblAlgn val="ctr"/>
        <c:lblOffset val="100"/>
        <c:noMultiLvlLbl val="0"/>
      </c:catAx>
      <c:valAx>
        <c:axId val="112410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2408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LUZY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Carrières'!$D$126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Carrières'!$E$125:$P$125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Carrières'!$E$126:$P$126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Carrières'!$D$127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Carrières'!$E$125:$P$125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Carrières'!$E$127:$P$127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Carrières'!$D$128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Carrières'!$E$125:$P$125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Carrières'!$E$128:$P$128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Carrières'!$D$129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Carrières'!$E$125:$P$125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Carrières'!$E$129:$P$129</c:f>
              <c:numCache>
                <c:formatCode>#,##0</c:formatCode>
                <c:ptCount val="12"/>
                <c:pt idx="0">
                  <c:v>2400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1200</c:v>
                </c:pt>
                <c:pt idx="8">
                  <c:v>4200</c:v>
                </c:pt>
                <c:pt idx="9">
                  <c:v>8800</c:v>
                </c:pt>
                <c:pt idx="10">
                  <c:v>3000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Carrières'!$D$130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Carrières'!$E$125:$P$125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Carrières'!$E$130:$P$130</c:f>
              <c:numCache>
                <c:formatCode>#,##0</c:formatCode>
                <c:ptCount val="12"/>
                <c:pt idx="0">
                  <c:v>2400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3000</c:v>
                </c:pt>
                <c:pt idx="6">
                  <c:v>10000</c:v>
                </c:pt>
                <c:pt idx="7">
                  <c:v>6000</c:v>
                </c:pt>
                <c:pt idx="8">
                  <c:v>3000</c:v>
                </c:pt>
                <c:pt idx="9">
                  <c:v>4000</c:v>
                </c:pt>
                <c:pt idx="10">
                  <c:v>3000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25408"/>
        <c:axId val="111426944"/>
      </c:lineChart>
      <c:catAx>
        <c:axId val="1114254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1426944"/>
        <c:crosses val="autoZero"/>
        <c:auto val="1"/>
        <c:lblAlgn val="ctr"/>
        <c:lblOffset val="100"/>
        <c:noMultiLvlLbl val="0"/>
      </c:catAx>
      <c:valAx>
        <c:axId val="111426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5.6525050820328562E-2"/>
              <c:y val="0.3704779474908545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14254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LUZY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779835027951933E-2"/>
          <c:y val="0.16470638539044935"/>
          <c:w val="0.76761889154858964"/>
          <c:h val="0.461840580706499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Carrières'!$D$126:$D$127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Carrières'!$Q$126:$Q$127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3624739174214491"/>
          <c:y val="0.69890740253229078"/>
          <c:w val="0.15407108396228333"/>
          <c:h val="7.701604857330178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LUZY 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Carrières'!$D$59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Carrières'!$E$59:$P$59</c:f>
              <c:numCache>
                <c:formatCode>#,##0</c:formatCode>
                <c:ptCount val="12"/>
                <c:pt idx="0">
                  <c:v>3361</c:v>
                </c:pt>
                <c:pt idx="1">
                  <c:v>7857</c:v>
                </c:pt>
                <c:pt idx="2">
                  <c:v>18787</c:v>
                </c:pt>
                <c:pt idx="3">
                  <c:v>18787</c:v>
                </c:pt>
                <c:pt idx="4">
                  <c:v>18787</c:v>
                </c:pt>
                <c:pt idx="5">
                  <c:v>18787</c:v>
                </c:pt>
                <c:pt idx="6">
                  <c:v>18787</c:v>
                </c:pt>
                <c:pt idx="7">
                  <c:v>18787</c:v>
                </c:pt>
                <c:pt idx="8">
                  <c:v>18787</c:v>
                </c:pt>
                <c:pt idx="9">
                  <c:v>18787</c:v>
                </c:pt>
                <c:pt idx="10">
                  <c:v>18787</c:v>
                </c:pt>
                <c:pt idx="11">
                  <c:v>18787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Carrières'!$D$60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Carrières'!$E$60:$P$60</c:f>
              <c:numCache>
                <c:formatCode>#,##0</c:formatCode>
                <c:ptCount val="12"/>
                <c:pt idx="0">
                  <c:v>7358</c:v>
                </c:pt>
                <c:pt idx="1">
                  <c:v>7358</c:v>
                </c:pt>
                <c:pt idx="2">
                  <c:v>8026</c:v>
                </c:pt>
                <c:pt idx="3">
                  <c:v>8026</c:v>
                </c:pt>
                <c:pt idx="4">
                  <c:v>8026</c:v>
                </c:pt>
                <c:pt idx="5">
                  <c:v>8026</c:v>
                </c:pt>
                <c:pt idx="6">
                  <c:v>8026</c:v>
                </c:pt>
                <c:pt idx="7">
                  <c:v>8026</c:v>
                </c:pt>
                <c:pt idx="8">
                  <c:v>8026</c:v>
                </c:pt>
                <c:pt idx="9">
                  <c:v>8026</c:v>
                </c:pt>
                <c:pt idx="10">
                  <c:v>8026</c:v>
                </c:pt>
                <c:pt idx="11">
                  <c:v>8026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Carrières'!$D$61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Carrières'!$E$61:$P$61</c:f>
              <c:numCache>
                <c:formatCode>#,##0</c:formatCode>
                <c:ptCount val="12"/>
                <c:pt idx="0">
                  <c:v>10719</c:v>
                </c:pt>
                <c:pt idx="1">
                  <c:v>15215</c:v>
                </c:pt>
                <c:pt idx="2">
                  <c:v>26813</c:v>
                </c:pt>
                <c:pt idx="3">
                  <c:v>26813</c:v>
                </c:pt>
                <c:pt idx="4">
                  <c:v>26813</c:v>
                </c:pt>
                <c:pt idx="5">
                  <c:v>26813</c:v>
                </c:pt>
                <c:pt idx="6">
                  <c:v>26813</c:v>
                </c:pt>
                <c:pt idx="7">
                  <c:v>26813</c:v>
                </c:pt>
                <c:pt idx="8">
                  <c:v>26813</c:v>
                </c:pt>
                <c:pt idx="9">
                  <c:v>26813</c:v>
                </c:pt>
                <c:pt idx="10">
                  <c:v>26813</c:v>
                </c:pt>
                <c:pt idx="11">
                  <c:v>26813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Carrières'!$D$59</c:f>
              <c:strCache>
                <c:ptCount val="1"/>
                <c:pt idx="0">
                  <c:v>Cumul Fer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Carrières'!$E$59:$P$59</c:f>
              <c:numCache>
                <c:formatCode>#,##0</c:formatCode>
                <c:ptCount val="12"/>
                <c:pt idx="0">
                  <c:v>3361</c:v>
                </c:pt>
                <c:pt idx="1">
                  <c:v>7857</c:v>
                </c:pt>
                <c:pt idx="2">
                  <c:v>18787</c:v>
                </c:pt>
                <c:pt idx="3">
                  <c:v>18787</c:v>
                </c:pt>
                <c:pt idx="4">
                  <c:v>18787</c:v>
                </c:pt>
                <c:pt idx="5">
                  <c:v>18787</c:v>
                </c:pt>
                <c:pt idx="6">
                  <c:v>18787</c:v>
                </c:pt>
                <c:pt idx="7">
                  <c:v>18787</c:v>
                </c:pt>
                <c:pt idx="8">
                  <c:v>18787</c:v>
                </c:pt>
                <c:pt idx="9">
                  <c:v>18787</c:v>
                </c:pt>
                <c:pt idx="10">
                  <c:v>18787</c:v>
                </c:pt>
                <c:pt idx="11">
                  <c:v>18787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Carrières'!$D$63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Carrières'!$E$63:$P$63</c:f>
              <c:numCache>
                <c:formatCode>#,##0</c:formatCode>
                <c:ptCount val="12"/>
                <c:pt idx="0">
                  <c:v>9500</c:v>
                </c:pt>
                <c:pt idx="1">
                  <c:v>27900</c:v>
                </c:pt>
                <c:pt idx="2">
                  <c:v>42600</c:v>
                </c:pt>
                <c:pt idx="3">
                  <c:v>51500</c:v>
                </c:pt>
                <c:pt idx="4">
                  <c:v>55100</c:v>
                </c:pt>
                <c:pt idx="5">
                  <c:v>56300</c:v>
                </c:pt>
                <c:pt idx="6">
                  <c:v>65100</c:v>
                </c:pt>
                <c:pt idx="7">
                  <c:v>69500</c:v>
                </c:pt>
                <c:pt idx="8">
                  <c:v>81300</c:v>
                </c:pt>
                <c:pt idx="9">
                  <c:v>92300</c:v>
                </c:pt>
                <c:pt idx="10">
                  <c:v>95800</c:v>
                </c:pt>
                <c:pt idx="11">
                  <c:v>97000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55968"/>
        <c:axId val="111957504"/>
      </c:lineChart>
      <c:catAx>
        <c:axId val="11195596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1957504"/>
        <c:crosses val="autoZero"/>
        <c:auto val="1"/>
        <c:lblAlgn val="ctr"/>
        <c:lblOffset val="100"/>
        <c:noMultiLvlLbl val="0"/>
      </c:catAx>
      <c:valAx>
        <c:axId val="111957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1955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RAON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Carrières'!$D$138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Carrières'!$E$138:$P$138</c:f>
              <c:numCache>
                <c:formatCode>#,##0</c:formatCode>
                <c:ptCount val="12"/>
                <c:pt idx="0">
                  <c:v>4747</c:v>
                </c:pt>
                <c:pt idx="1">
                  <c:v>16635</c:v>
                </c:pt>
                <c:pt idx="2">
                  <c:v>16735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Carrières'!$D$139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Carrières'!$E$139:$P$139</c:f>
              <c:numCache>
                <c:formatCode>#,##0</c:formatCode>
                <c:ptCount val="12"/>
                <c:pt idx="0">
                  <c:v>59</c:v>
                </c:pt>
                <c:pt idx="1">
                  <c:v>3796</c:v>
                </c:pt>
                <c:pt idx="2">
                  <c:v>2385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Carrières'!$D$140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Carrières'!$E$140:$P$140</c:f>
              <c:numCache>
                <c:formatCode>#,##0</c:formatCode>
                <c:ptCount val="12"/>
                <c:pt idx="0">
                  <c:v>4806</c:v>
                </c:pt>
                <c:pt idx="1">
                  <c:v>20431</c:v>
                </c:pt>
                <c:pt idx="2">
                  <c:v>19120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Carrières'!$D$141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Carrières'!$E$141:$P$141</c:f>
              <c:numCache>
                <c:formatCode>#,##0</c:formatCode>
                <c:ptCount val="12"/>
                <c:pt idx="0">
                  <c:v>0</c:v>
                </c:pt>
                <c:pt idx="1">
                  <c:v>8800</c:v>
                </c:pt>
                <c:pt idx="2">
                  <c:v>16150</c:v>
                </c:pt>
                <c:pt idx="3">
                  <c:v>11500</c:v>
                </c:pt>
                <c:pt idx="4">
                  <c:v>4800</c:v>
                </c:pt>
                <c:pt idx="5">
                  <c:v>13600</c:v>
                </c:pt>
                <c:pt idx="6">
                  <c:v>38831</c:v>
                </c:pt>
                <c:pt idx="7">
                  <c:v>46200</c:v>
                </c:pt>
                <c:pt idx="8">
                  <c:v>35200</c:v>
                </c:pt>
                <c:pt idx="9">
                  <c:v>29650</c:v>
                </c:pt>
                <c:pt idx="10">
                  <c:v>17400</c:v>
                </c:pt>
                <c:pt idx="11">
                  <c:v>4350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Carrières'!$D$142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Carrières'!$E$142:$P$142</c:f>
              <c:numCache>
                <c:formatCode>#,##0</c:formatCode>
                <c:ptCount val="12"/>
                <c:pt idx="0">
                  <c:v>0</c:v>
                </c:pt>
                <c:pt idx="1">
                  <c:v>10000</c:v>
                </c:pt>
                <c:pt idx="2">
                  <c:v>19350</c:v>
                </c:pt>
                <c:pt idx="3">
                  <c:v>18500</c:v>
                </c:pt>
                <c:pt idx="4">
                  <c:v>6800</c:v>
                </c:pt>
                <c:pt idx="5">
                  <c:v>20100</c:v>
                </c:pt>
                <c:pt idx="6">
                  <c:v>48781</c:v>
                </c:pt>
                <c:pt idx="7">
                  <c:v>30450</c:v>
                </c:pt>
                <c:pt idx="8">
                  <c:v>26600</c:v>
                </c:pt>
                <c:pt idx="9">
                  <c:v>29650</c:v>
                </c:pt>
                <c:pt idx="10">
                  <c:v>17400</c:v>
                </c:pt>
                <c:pt idx="11">
                  <c:v>4350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56320"/>
        <c:axId val="111662208"/>
      </c:lineChart>
      <c:catAx>
        <c:axId val="111656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1662208"/>
        <c:crosses val="autoZero"/>
        <c:auto val="1"/>
        <c:lblAlgn val="ctr"/>
        <c:lblOffset val="100"/>
        <c:noMultiLvlLbl val="0"/>
      </c:catAx>
      <c:valAx>
        <c:axId val="111662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1656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RAON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235708003518032E-2"/>
          <c:y val="0.19547551771339589"/>
          <c:w val="0.76826875532379035"/>
          <c:h val="0.46439211844930867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5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Carrières'!$D$138:$D$139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Carrières'!$Q$138:$Q$139</c:f>
              <c:numCache>
                <c:formatCode>#,##0</c:formatCode>
                <c:ptCount val="2"/>
                <c:pt idx="0">
                  <c:v>38117</c:v>
                </c:pt>
                <c:pt idx="1">
                  <c:v>6240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0860296816459953"/>
          <c:y val="0.73690506390050514"/>
          <c:w val="0.15313845663751133"/>
          <c:h val="7.690765926986399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RAON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Carrières'!$D$143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Carrières'!$E$143:$P$143</c:f>
              <c:numCache>
                <c:formatCode>#,##0</c:formatCode>
                <c:ptCount val="12"/>
                <c:pt idx="0">
                  <c:v>4747</c:v>
                </c:pt>
                <c:pt idx="1">
                  <c:v>21382</c:v>
                </c:pt>
                <c:pt idx="2">
                  <c:v>38117</c:v>
                </c:pt>
                <c:pt idx="3">
                  <c:v>38117</c:v>
                </c:pt>
                <c:pt idx="4">
                  <c:v>38117</c:v>
                </c:pt>
                <c:pt idx="5">
                  <c:v>38117</c:v>
                </c:pt>
                <c:pt idx="6">
                  <c:v>38117</c:v>
                </c:pt>
                <c:pt idx="7">
                  <c:v>38117</c:v>
                </c:pt>
                <c:pt idx="8">
                  <c:v>38117</c:v>
                </c:pt>
                <c:pt idx="9">
                  <c:v>38117</c:v>
                </c:pt>
                <c:pt idx="10">
                  <c:v>38117</c:v>
                </c:pt>
                <c:pt idx="11">
                  <c:v>38117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Carrières'!$D$144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Carrières'!$E$144:$P$144</c:f>
              <c:numCache>
                <c:formatCode>#,##0</c:formatCode>
                <c:ptCount val="12"/>
                <c:pt idx="0">
                  <c:v>59</c:v>
                </c:pt>
                <c:pt idx="1">
                  <c:v>3855</c:v>
                </c:pt>
                <c:pt idx="2">
                  <c:v>6240</c:v>
                </c:pt>
                <c:pt idx="3">
                  <c:v>6240</c:v>
                </c:pt>
                <c:pt idx="4">
                  <c:v>6240</c:v>
                </c:pt>
                <c:pt idx="5">
                  <c:v>6240</c:v>
                </c:pt>
                <c:pt idx="6">
                  <c:v>6240</c:v>
                </c:pt>
                <c:pt idx="7">
                  <c:v>6240</c:v>
                </c:pt>
                <c:pt idx="8">
                  <c:v>6240</c:v>
                </c:pt>
                <c:pt idx="9">
                  <c:v>6240</c:v>
                </c:pt>
                <c:pt idx="10">
                  <c:v>6240</c:v>
                </c:pt>
                <c:pt idx="11">
                  <c:v>6240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Carrières'!$D$145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Carrières'!$E$145:$P$145</c:f>
              <c:numCache>
                <c:formatCode>#,##0</c:formatCode>
                <c:ptCount val="12"/>
                <c:pt idx="0">
                  <c:v>4806</c:v>
                </c:pt>
                <c:pt idx="1">
                  <c:v>25237</c:v>
                </c:pt>
                <c:pt idx="2">
                  <c:v>44357</c:v>
                </c:pt>
                <c:pt idx="3">
                  <c:v>44357</c:v>
                </c:pt>
                <c:pt idx="4">
                  <c:v>44357</c:v>
                </c:pt>
                <c:pt idx="5">
                  <c:v>44357</c:v>
                </c:pt>
                <c:pt idx="6">
                  <c:v>44357</c:v>
                </c:pt>
                <c:pt idx="7">
                  <c:v>44357</c:v>
                </c:pt>
                <c:pt idx="8">
                  <c:v>44357</c:v>
                </c:pt>
                <c:pt idx="9">
                  <c:v>44357</c:v>
                </c:pt>
                <c:pt idx="10">
                  <c:v>44357</c:v>
                </c:pt>
                <c:pt idx="11">
                  <c:v>44357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Carrières'!$D$146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Carrières'!$E$146:$P$146</c:f>
              <c:numCache>
                <c:formatCode>#,##0</c:formatCode>
                <c:ptCount val="12"/>
                <c:pt idx="0">
                  <c:v>0</c:v>
                </c:pt>
                <c:pt idx="1">
                  <c:v>8800</c:v>
                </c:pt>
                <c:pt idx="2">
                  <c:v>24950</c:v>
                </c:pt>
                <c:pt idx="3">
                  <c:v>36450</c:v>
                </c:pt>
                <c:pt idx="4">
                  <c:v>41250</c:v>
                </c:pt>
                <c:pt idx="5">
                  <c:v>54850</c:v>
                </c:pt>
                <c:pt idx="6">
                  <c:v>93681</c:v>
                </c:pt>
                <c:pt idx="7">
                  <c:v>139881</c:v>
                </c:pt>
                <c:pt idx="8">
                  <c:v>175081</c:v>
                </c:pt>
                <c:pt idx="9">
                  <c:v>204731</c:v>
                </c:pt>
                <c:pt idx="10">
                  <c:v>222131</c:v>
                </c:pt>
                <c:pt idx="11">
                  <c:v>226481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Carrières'!$D$147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Carrières'!$E$147:$P$147</c:f>
              <c:numCache>
                <c:formatCode>#,##0</c:formatCode>
                <c:ptCount val="12"/>
                <c:pt idx="0">
                  <c:v>0</c:v>
                </c:pt>
                <c:pt idx="1">
                  <c:v>10000</c:v>
                </c:pt>
                <c:pt idx="2">
                  <c:v>29350</c:v>
                </c:pt>
                <c:pt idx="3">
                  <c:v>47850</c:v>
                </c:pt>
                <c:pt idx="4">
                  <c:v>54650</c:v>
                </c:pt>
                <c:pt idx="5">
                  <c:v>74750</c:v>
                </c:pt>
                <c:pt idx="6">
                  <c:v>123531</c:v>
                </c:pt>
                <c:pt idx="7">
                  <c:v>153981</c:v>
                </c:pt>
                <c:pt idx="8">
                  <c:v>180581</c:v>
                </c:pt>
                <c:pt idx="9">
                  <c:v>210231</c:v>
                </c:pt>
                <c:pt idx="10">
                  <c:v>227631</c:v>
                </c:pt>
                <c:pt idx="11">
                  <c:v>231981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35936"/>
        <c:axId val="111737472"/>
      </c:lineChart>
      <c:catAx>
        <c:axId val="11173593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1737472"/>
        <c:crosses val="autoZero"/>
        <c:auto val="1"/>
        <c:lblAlgn val="ctr"/>
        <c:lblOffset val="100"/>
        <c:noMultiLvlLbl val="0"/>
      </c:catAx>
      <c:valAx>
        <c:axId val="111737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17359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VAUVELLE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Carrières'!$D$150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Carrières'!$E$150:$P$150</c:f>
              <c:numCache>
                <c:formatCode>#,##0</c:formatCode>
                <c:ptCount val="12"/>
                <c:pt idx="0">
                  <c:v>35890</c:v>
                </c:pt>
                <c:pt idx="1">
                  <c:v>37887</c:v>
                </c:pt>
                <c:pt idx="2">
                  <c:v>15111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Carrières'!$D$151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Carrières'!$E$151:$P$151</c:f>
              <c:numCache>
                <c:formatCode>#,##0</c:formatCode>
                <c:ptCount val="12"/>
                <c:pt idx="0">
                  <c:v>663</c:v>
                </c:pt>
                <c:pt idx="1">
                  <c:v>799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Carrières'!$D$152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Carrières'!$E$152:$P$152</c:f>
              <c:numCache>
                <c:formatCode>#,##0</c:formatCode>
                <c:ptCount val="12"/>
                <c:pt idx="0">
                  <c:v>36553</c:v>
                </c:pt>
                <c:pt idx="1">
                  <c:v>38686</c:v>
                </c:pt>
                <c:pt idx="2">
                  <c:v>15111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Carrières'!$D$153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Carrières'!$E$153:$P$153</c:f>
              <c:numCache>
                <c:formatCode>#,##0</c:formatCode>
                <c:ptCount val="12"/>
                <c:pt idx="0">
                  <c:v>29800</c:v>
                </c:pt>
                <c:pt idx="1">
                  <c:v>26800</c:v>
                </c:pt>
                <c:pt idx="2">
                  <c:v>15600</c:v>
                </c:pt>
                <c:pt idx="3">
                  <c:v>0</c:v>
                </c:pt>
                <c:pt idx="4">
                  <c:v>1200</c:v>
                </c:pt>
                <c:pt idx="5">
                  <c:v>2400</c:v>
                </c:pt>
                <c:pt idx="6">
                  <c:v>3600</c:v>
                </c:pt>
                <c:pt idx="7">
                  <c:v>4400</c:v>
                </c:pt>
                <c:pt idx="8">
                  <c:v>4400</c:v>
                </c:pt>
                <c:pt idx="9">
                  <c:v>5500</c:v>
                </c:pt>
                <c:pt idx="10">
                  <c:v>3400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Carrières'!$D$154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Carrières'!$E$154:$P$154</c:f>
              <c:numCache>
                <c:formatCode>#,##0</c:formatCode>
                <c:ptCount val="12"/>
                <c:pt idx="0">
                  <c:v>29800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1200</c:v>
                </c:pt>
                <c:pt idx="5">
                  <c:v>2400</c:v>
                </c:pt>
                <c:pt idx="6">
                  <c:v>3600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33472"/>
        <c:axId val="111835008"/>
      </c:lineChart>
      <c:catAx>
        <c:axId val="111833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1835008"/>
        <c:crosses val="autoZero"/>
        <c:auto val="1"/>
        <c:lblAlgn val="ctr"/>
        <c:lblOffset val="100"/>
        <c:noMultiLvlLbl val="0"/>
      </c:catAx>
      <c:valAx>
        <c:axId val="111835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1833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VAUVELLE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717678100263847E-2"/>
          <c:y val="0.18246315446911418"/>
          <c:w val="0.76475072542053613"/>
          <c:h val="0.4626344782906763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Carrières'!$D$150:$D$151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Carrières'!$Q$150:$Q$151</c:f>
              <c:numCache>
                <c:formatCode>#,##0</c:formatCode>
                <c:ptCount val="2"/>
                <c:pt idx="0">
                  <c:v>88888</c:v>
                </c:pt>
                <c:pt idx="1">
                  <c:v>1462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2971114758412462"/>
          <c:y val="0.71581186018128795"/>
          <c:w val="0.15313845663751133"/>
          <c:h val="7.696903163900337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VAUVELLLE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Carrières'!$D$155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Carrières'!$E$155:$P$155</c:f>
              <c:numCache>
                <c:formatCode>#,##0</c:formatCode>
                <c:ptCount val="12"/>
                <c:pt idx="0">
                  <c:v>35890</c:v>
                </c:pt>
                <c:pt idx="1">
                  <c:v>73777</c:v>
                </c:pt>
                <c:pt idx="2">
                  <c:v>88888</c:v>
                </c:pt>
                <c:pt idx="3">
                  <c:v>88888</c:v>
                </c:pt>
                <c:pt idx="4">
                  <c:v>88888</c:v>
                </c:pt>
                <c:pt idx="5">
                  <c:v>88888</c:v>
                </c:pt>
                <c:pt idx="6">
                  <c:v>88888</c:v>
                </c:pt>
                <c:pt idx="7">
                  <c:v>88888</c:v>
                </c:pt>
                <c:pt idx="8">
                  <c:v>88888</c:v>
                </c:pt>
                <c:pt idx="9">
                  <c:v>88888</c:v>
                </c:pt>
                <c:pt idx="10">
                  <c:v>88888</c:v>
                </c:pt>
                <c:pt idx="11">
                  <c:v>88888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Carrières'!$D$156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Carrières'!$E$156:$P$156</c:f>
              <c:numCache>
                <c:formatCode>#,##0</c:formatCode>
                <c:ptCount val="12"/>
                <c:pt idx="0">
                  <c:v>663</c:v>
                </c:pt>
                <c:pt idx="1">
                  <c:v>1462</c:v>
                </c:pt>
                <c:pt idx="2">
                  <c:v>1462</c:v>
                </c:pt>
                <c:pt idx="3">
                  <c:v>1462</c:v>
                </c:pt>
                <c:pt idx="4">
                  <c:v>1462</c:v>
                </c:pt>
                <c:pt idx="5">
                  <c:v>1462</c:v>
                </c:pt>
                <c:pt idx="6">
                  <c:v>1462</c:v>
                </c:pt>
                <c:pt idx="7">
                  <c:v>1462</c:v>
                </c:pt>
                <c:pt idx="8">
                  <c:v>1462</c:v>
                </c:pt>
                <c:pt idx="9">
                  <c:v>1462</c:v>
                </c:pt>
                <c:pt idx="10">
                  <c:v>1462</c:v>
                </c:pt>
                <c:pt idx="11">
                  <c:v>1462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Carrières'!$D$157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Carrières'!$E$157:$P$157</c:f>
              <c:numCache>
                <c:formatCode>#,##0</c:formatCode>
                <c:ptCount val="12"/>
                <c:pt idx="0">
                  <c:v>36553</c:v>
                </c:pt>
                <c:pt idx="1">
                  <c:v>75239</c:v>
                </c:pt>
                <c:pt idx="2">
                  <c:v>90350</c:v>
                </c:pt>
                <c:pt idx="3">
                  <c:v>90350</c:v>
                </c:pt>
                <c:pt idx="4">
                  <c:v>90350</c:v>
                </c:pt>
                <c:pt idx="5">
                  <c:v>90350</c:v>
                </c:pt>
                <c:pt idx="6">
                  <c:v>90350</c:v>
                </c:pt>
                <c:pt idx="7">
                  <c:v>90350</c:v>
                </c:pt>
                <c:pt idx="8">
                  <c:v>90350</c:v>
                </c:pt>
                <c:pt idx="9">
                  <c:v>90350</c:v>
                </c:pt>
                <c:pt idx="10">
                  <c:v>90350</c:v>
                </c:pt>
                <c:pt idx="11">
                  <c:v>90350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Carrières'!$D$158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Carrières'!$E$158:$P$158</c:f>
              <c:numCache>
                <c:formatCode>#,##0</c:formatCode>
                <c:ptCount val="12"/>
                <c:pt idx="0">
                  <c:v>29800</c:v>
                </c:pt>
                <c:pt idx="1">
                  <c:v>56600</c:v>
                </c:pt>
                <c:pt idx="2">
                  <c:v>72200</c:v>
                </c:pt>
                <c:pt idx="3">
                  <c:v>72200</c:v>
                </c:pt>
                <c:pt idx="4">
                  <c:v>73400</c:v>
                </c:pt>
                <c:pt idx="5">
                  <c:v>75800</c:v>
                </c:pt>
                <c:pt idx="6">
                  <c:v>79400</c:v>
                </c:pt>
                <c:pt idx="7">
                  <c:v>83800</c:v>
                </c:pt>
                <c:pt idx="8">
                  <c:v>88200</c:v>
                </c:pt>
                <c:pt idx="9">
                  <c:v>93700</c:v>
                </c:pt>
                <c:pt idx="10">
                  <c:v>97100</c:v>
                </c:pt>
                <c:pt idx="11">
                  <c:v>97100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Carrières'!$D$159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Carrières'!$E$159:$P$159</c:f>
              <c:numCache>
                <c:formatCode>#,##0</c:formatCode>
                <c:ptCount val="12"/>
                <c:pt idx="0">
                  <c:v>29800</c:v>
                </c:pt>
                <c:pt idx="1">
                  <c:v>29800</c:v>
                </c:pt>
                <c:pt idx="2">
                  <c:v>29800</c:v>
                </c:pt>
                <c:pt idx="3">
                  <c:v>29800</c:v>
                </c:pt>
                <c:pt idx="4">
                  <c:v>31000</c:v>
                </c:pt>
                <c:pt idx="5">
                  <c:v>33400</c:v>
                </c:pt>
                <c:pt idx="6">
                  <c:v>37000</c:v>
                </c:pt>
                <c:pt idx="7">
                  <c:v>37000</c:v>
                </c:pt>
                <c:pt idx="8">
                  <c:v>37000</c:v>
                </c:pt>
                <c:pt idx="9">
                  <c:v>37000</c:v>
                </c:pt>
                <c:pt idx="10">
                  <c:v>37000</c:v>
                </c:pt>
                <c:pt idx="11">
                  <c:v>37000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39616"/>
        <c:axId val="113041408"/>
      </c:lineChart>
      <c:catAx>
        <c:axId val="11303961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3041408"/>
        <c:crosses val="autoZero"/>
        <c:auto val="1"/>
        <c:lblAlgn val="ctr"/>
        <c:lblOffset val="100"/>
        <c:noMultiLvlLbl val="0"/>
      </c:catAx>
      <c:valAx>
        <c:axId val="113041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3039616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ln>
          <a:solidFill>
            <a:schemeClr val="accent3">
              <a:lumMod val="75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LESSINES / QUENAST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Carrières'!$D$162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Carrières'!$E$162:$P$162</c:f>
              <c:numCache>
                <c:formatCode>#,##0</c:formatCode>
                <c:ptCount val="12"/>
                <c:pt idx="0">
                  <c:v>16164</c:v>
                </c:pt>
                <c:pt idx="1">
                  <c:v>17795</c:v>
                </c:pt>
                <c:pt idx="2">
                  <c:v>28178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Carrières'!$D$163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Carrières'!$E$163:$P$163</c:f>
              <c:numCache>
                <c:formatCode>#,##0</c:formatCode>
                <c:ptCount val="12"/>
                <c:pt idx="0">
                  <c:v>11388</c:v>
                </c:pt>
                <c:pt idx="1">
                  <c:v>4323</c:v>
                </c:pt>
                <c:pt idx="2">
                  <c:v>1165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Carrières'!$D$164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Carrières'!$E$164:$P$164</c:f>
              <c:numCache>
                <c:formatCode>#,##0</c:formatCode>
                <c:ptCount val="12"/>
                <c:pt idx="0">
                  <c:v>27552</c:v>
                </c:pt>
                <c:pt idx="1">
                  <c:v>22118</c:v>
                </c:pt>
                <c:pt idx="2">
                  <c:v>29343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Carrières'!$D$165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Carrières'!$E$165:$P$165</c:f>
              <c:numCache>
                <c:formatCode>#,##0</c:formatCode>
                <c:ptCount val="12"/>
                <c:pt idx="0">
                  <c:v>31250</c:v>
                </c:pt>
                <c:pt idx="1">
                  <c:v>35900</c:v>
                </c:pt>
                <c:pt idx="2">
                  <c:v>31125</c:v>
                </c:pt>
                <c:pt idx="3">
                  <c:v>20700</c:v>
                </c:pt>
                <c:pt idx="4">
                  <c:v>8800</c:v>
                </c:pt>
                <c:pt idx="5">
                  <c:v>0</c:v>
                </c:pt>
                <c:pt idx="6">
                  <c:v>1600</c:v>
                </c:pt>
                <c:pt idx="7">
                  <c:v>4800</c:v>
                </c:pt>
                <c:pt idx="8">
                  <c:v>6000</c:v>
                </c:pt>
                <c:pt idx="9">
                  <c:v>6000</c:v>
                </c:pt>
                <c:pt idx="10">
                  <c:v>4800</c:v>
                </c:pt>
                <c:pt idx="11">
                  <c:v>2400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Carrières'!$D$166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Carrières'!$E$166:$P$166</c:f>
              <c:numCache>
                <c:formatCode>#,##0</c:formatCode>
                <c:ptCount val="12"/>
                <c:pt idx="0">
                  <c:v>31250</c:v>
                </c:pt>
                <c:pt idx="1">
                  <c:v>900</c:v>
                </c:pt>
                <c:pt idx="2">
                  <c:v>32325</c:v>
                </c:pt>
                <c:pt idx="3">
                  <c:v>20700</c:v>
                </c:pt>
                <c:pt idx="4">
                  <c:v>9400</c:v>
                </c:pt>
                <c:pt idx="5">
                  <c:v>8800</c:v>
                </c:pt>
                <c:pt idx="6">
                  <c:v>1600</c:v>
                </c:pt>
                <c:pt idx="7">
                  <c:v>4800</c:v>
                </c:pt>
                <c:pt idx="8">
                  <c:v>11200</c:v>
                </c:pt>
                <c:pt idx="9">
                  <c:v>14800</c:v>
                </c:pt>
                <c:pt idx="10">
                  <c:v>12800</c:v>
                </c:pt>
                <c:pt idx="11">
                  <c:v>9600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96192"/>
        <c:axId val="113097728"/>
      </c:lineChart>
      <c:catAx>
        <c:axId val="1130961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3097728"/>
        <c:crosses val="autoZero"/>
        <c:auto val="1"/>
        <c:lblAlgn val="ctr"/>
        <c:lblOffset val="100"/>
        <c:noMultiLvlLbl val="0"/>
      </c:catAx>
      <c:valAx>
        <c:axId val="113097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30961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</a:t>
            </a:r>
            <a:r>
              <a:rPr lang="fr-FR" baseline="0">
                <a:solidFill>
                  <a:schemeClr val="accent1"/>
                </a:solidFill>
              </a:rPr>
              <a:t> LESSINES / QUENAST</a:t>
            </a:r>
            <a:endParaRPr lang="fr-FR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122488783139211E-2"/>
          <c:y val="0.20032823097112862"/>
          <c:w val="0.75445689165253271"/>
          <c:h val="0.4584902887139107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Carrières'!$D$162:$D$163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Carrières'!$Q$162:$Q$163</c:f>
              <c:numCache>
                <c:formatCode>#,##0</c:formatCode>
                <c:ptCount val="2"/>
                <c:pt idx="0">
                  <c:v>62137</c:v>
                </c:pt>
                <c:pt idx="1">
                  <c:v>16876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8902958951486113"/>
          <c:y val="0.70139649343832011"/>
          <c:w val="0.15280858252933854"/>
          <c:h val="7.715376377952755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LESSINES / QUENAST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Carrières'!$D$167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Carrières'!$E$167:$P$167</c:f>
              <c:numCache>
                <c:formatCode>#,##0</c:formatCode>
                <c:ptCount val="12"/>
                <c:pt idx="0">
                  <c:v>16164</c:v>
                </c:pt>
                <c:pt idx="1">
                  <c:v>33959</c:v>
                </c:pt>
                <c:pt idx="2">
                  <c:v>62137</c:v>
                </c:pt>
                <c:pt idx="3">
                  <c:v>62137</c:v>
                </c:pt>
                <c:pt idx="4">
                  <c:v>62137</c:v>
                </c:pt>
                <c:pt idx="5">
                  <c:v>62137</c:v>
                </c:pt>
                <c:pt idx="6">
                  <c:v>62137</c:v>
                </c:pt>
                <c:pt idx="7">
                  <c:v>62137</c:v>
                </c:pt>
                <c:pt idx="8">
                  <c:v>62137</c:v>
                </c:pt>
                <c:pt idx="9">
                  <c:v>62137</c:v>
                </c:pt>
                <c:pt idx="10">
                  <c:v>62137</c:v>
                </c:pt>
                <c:pt idx="11">
                  <c:v>62137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Carrières'!$D$168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Carrières'!$E$168:$P$168</c:f>
              <c:numCache>
                <c:formatCode>#,##0</c:formatCode>
                <c:ptCount val="12"/>
                <c:pt idx="0">
                  <c:v>11388</c:v>
                </c:pt>
                <c:pt idx="1">
                  <c:v>15711</c:v>
                </c:pt>
                <c:pt idx="2">
                  <c:v>16876</c:v>
                </c:pt>
                <c:pt idx="3">
                  <c:v>16876</c:v>
                </c:pt>
                <c:pt idx="4">
                  <c:v>16876</c:v>
                </c:pt>
                <c:pt idx="5">
                  <c:v>16876</c:v>
                </c:pt>
                <c:pt idx="6">
                  <c:v>16876</c:v>
                </c:pt>
                <c:pt idx="7">
                  <c:v>16876</c:v>
                </c:pt>
                <c:pt idx="8">
                  <c:v>16876</c:v>
                </c:pt>
                <c:pt idx="9">
                  <c:v>16876</c:v>
                </c:pt>
                <c:pt idx="10">
                  <c:v>16876</c:v>
                </c:pt>
                <c:pt idx="11">
                  <c:v>16876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Carrières'!$D$169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Carrières'!$E$169:$P$169</c:f>
              <c:numCache>
                <c:formatCode>#,##0</c:formatCode>
                <c:ptCount val="12"/>
                <c:pt idx="0">
                  <c:v>27552</c:v>
                </c:pt>
                <c:pt idx="1">
                  <c:v>49670</c:v>
                </c:pt>
                <c:pt idx="2">
                  <c:v>79013</c:v>
                </c:pt>
                <c:pt idx="3">
                  <c:v>79013</c:v>
                </c:pt>
                <c:pt idx="4">
                  <c:v>79013</c:v>
                </c:pt>
                <c:pt idx="5">
                  <c:v>79013</c:v>
                </c:pt>
                <c:pt idx="6">
                  <c:v>79013</c:v>
                </c:pt>
                <c:pt idx="7">
                  <c:v>79013</c:v>
                </c:pt>
                <c:pt idx="8">
                  <c:v>79013</c:v>
                </c:pt>
                <c:pt idx="9">
                  <c:v>79013</c:v>
                </c:pt>
                <c:pt idx="10">
                  <c:v>79013</c:v>
                </c:pt>
                <c:pt idx="11">
                  <c:v>79013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Carrières'!$D$170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Carrières'!$E$170:$P$170</c:f>
              <c:numCache>
                <c:formatCode>#,##0</c:formatCode>
                <c:ptCount val="12"/>
                <c:pt idx="0">
                  <c:v>31250</c:v>
                </c:pt>
                <c:pt idx="1">
                  <c:v>67150</c:v>
                </c:pt>
                <c:pt idx="2">
                  <c:v>98275</c:v>
                </c:pt>
                <c:pt idx="3">
                  <c:v>118975</c:v>
                </c:pt>
                <c:pt idx="4">
                  <c:v>127775</c:v>
                </c:pt>
                <c:pt idx="5">
                  <c:v>127775</c:v>
                </c:pt>
                <c:pt idx="6">
                  <c:v>129375</c:v>
                </c:pt>
                <c:pt idx="7">
                  <c:v>134175</c:v>
                </c:pt>
                <c:pt idx="8">
                  <c:v>140175</c:v>
                </c:pt>
                <c:pt idx="9">
                  <c:v>146175</c:v>
                </c:pt>
                <c:pt idx="10">
                  <c:v>150975</c:v>
                </c:pt>
                <c:pt idx="11">
                  <c:v>153375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Carrières'!$D$171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Carrières'!$E$171:$P$171</c:f>
              <c:numCache>
                <c:formatCode>#,##0</c:formatCode>
                <c:ptCount val="12"/>
                <c:pt idx="0">
                  <c:v>31250</c:v>
                </c:pt>
                <c:pt idx="1">
                  <c:v>32150</c:v>
                </c:pt>
                <c:pt idx="2">
                  <c:v>64475</c:v>
                </c:pt>
                <c:pt idx="3">
                  <c:v>85175</c:v>
                </c:pt>
                <c:pt idx="4">
                  <c:v>94575</c:v>
                </c:pt>
                <c:pt idx="5">
                  <c:v>103375</c:v>
                </c:pt>
                <c:pt idx="6">
                  <c:v>104975</c:v>
                </c:pt>
                <c:pt idx="7">
                  <c:v>109775</c:v>
                </c:pt>
                <c:pt idx="8">
                  <c:v>120975</c:v>
                </c:pt>
                <c:pt idx="9">
                  <c:v>135775</c:v>
                </c:pt>
                <c:pt idx="10">
                  <c:v>148575</c:v>
                </c:pt>
                <c:pt idx="11">
                  <c:v>158175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45568"/>
        <c:axId val="113132672"/>
      </c:lineChart>
      <c:catAx>
        <c:axId val="11324556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3132672"/>
        <c:crosses val="autoZero"/>
        <c:auto val="1"/>
        <c:lblAlgn val="ctr"/>
        <c:lblOffset val="100"/>
        <c:noMultiLvlLbl val="0"/>
      </c:catAx>
      <c:valAx>
        <c:axId val="113132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32455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MONTABARD Mensuel</a:t>
            </a:r>
          </a:p>
        </c:rich>
      </c:tx>
      <c:layout>
        <c:manualLayout>
          <c:xMode val="edge"/>
          <c:yMode val="edge"/>
          <c:x val="0.45446615678797292"/>
          <c:y val="8.479068717844633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Carrières'!$B$174:$D$174</c:f>
              <c:strCache>
                <c:ptCount val="1"/>
                <c:pt idx="0">
                  <c:v>MONTABARD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Carrières'!$E$173:$P$173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Carrières'!$E$174:$P$174</c:f>
              <c:numCache>
                <c:formatCode>#,##0</c:formatCode>
                <c:ptCount val="12"/>
                <c:pt idx="0">
                  <c:v>32700</c:v>
                </c:pt>
                <c:pt idx="1">
                  <c:v>27620</c:v>
                </c:pt>
                <c:pt idx="2">
                  <c:v>10855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Carrières'!$B$175:$D$175</c:f>
              <c:strCache>
                <c:ptCount val="1"/>
                <c:pt idx="0">
                  <c:v>MONTABARD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Carrières'!$E$173:$P$173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Carrières'!$E$175:$P$175</c:f>
              <c:numCache>
                <c:formatCode>#,##0</c:formatCode>
                <c:ptCount val="12"/>
                <c:pt idx="0">
                  <c:v>0</c:v>
                </c:pt>
                <c:pt idx="1">
                  <c:v>1086</c:v>
                </c:pt>
                <c:pt idx="2">
                  <c:v>529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Carrières'!$B$176:$D$176</c:f>
              <c:strCache>
                <c:ptCount val="1"/>
                <c:pt idx="0">
                  <c:v>MONTABARD Mensuel 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Carrières'!$E$173:$P$173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Carrières'!$E$176:$P$176</c:f>
              <c:numCache>
                <c:formatCode>#,##0</c:formatCode>
                <c:ptCount val="12"/>
                <c:pt idx="0">
                  <c:v>32700</c:v>
                </c:pt>
                <c:pt idx="1">
                  <c:v>28706</c:v>
                </c:pt>
                <c:pt idx="2">
                  <c:v>11384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Carrières'!$B$177:$D$177</c:f>
              <c:strCache>
                <c:ptCount val="1"/>
                <c:pt idx="0">
                  <c:v>MONTABARD 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Carrières'!$E$173:$P$173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Carrières'!$E$177:$P$177</c:f>
              <c:numCache>
                <c:formatCode>#,##0</c:formatCode>
                <c:ptCount val="12"/>
                <c:pt idx="0">
                  <c:v>6300</c:v>
                </c:pt>
                <c:pt idx="1">
                  <c:v>2400</c:v>
                </c:pt>
                <c:pt idx="2">
                  <c:v>3600</c:v>
                </c:pt>
                <c:pt idx="3">
                  <c:v>0</c:v>
                </c:pt>
                <c:pt idx="4">
                  <c:v>6000</c:v>
                </c:pt>
                <c:pt idx="5">
                  <c:v>16500</c:v>
                </c:pt>
                <c:pt idx="6">
                  <c:v>8500</c:v>
                </c:pt>
                <c:pt idx="7">
                  <c:v>2300</c:v>
                </c:pt>
                <c:pt idx="8">
                  <c:v>9200</c:v>
                </c:pt>
                <c:pt idx="9">
                  <c:v>32800</c:v>
                </c:pt>
                <c:pt idx="10">
                  <c:v>27700</c:v>
                </c:pt>
                <c:pt idx="11">
                  <c:v>16500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Carrières'!$B$183:$D$183</c:f>
              <c:strCache>
                <c:ptCount val="1"/>
                <c:pt idx="0">
                  <c:v>MONTABARD Prévision ajustée cumulée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Carrières'!$E$173:$P$173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Carrières'!$E$183:$P$183</c:f>
              <c:numCache>
                <c:formatCode>#,##0</c:formatCode>
                <c:ptCount val="12"/>
                <c:pt idx="0">
                  <c:v>6300</c:v>
                </c:pt>
                <c:pt idx="1">
                  <c:v>8700</c:v>
                </c:pt>
                <c:pt idx="2">
                  <c:v>12300</c:v>
                </c:pt>
                <c:pt idx="3">
                  <c:v>13500</c:v>
                </c:pt>
                <c:pt idx="4">
                  <c:v>19500</c:v>
                </c:pt>
                <c:pt idx="5">
                  <c:v>30000</c:v>
                </c:pt>
                <c:pt idx="6">
                  <c:v>36400</c:v>
                </c:pt>
                <c:pt idx="7">
                  <c:v>38700</c:v>
                </c:pt>
                <c:pt idx="8">
                  <c:v>42300</c:v>
                </c:pt>
                <c:pt idx="9">
                  <c:v>70300</c:v>
                </c:pt>
                <c:pt idx="10">
                  <c:v>94000</c:v>
                </c:pt>
                <c:pt idx="11">
                  <c:v>106300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37888"/>
        <c:axId val="112808320"/>
      </c:lineChart>
      <c:catAx>
        <c:axId val="112437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2808320"/>
        <c:crosses val="autoZero"/>
        <c:auto val="1"/>
        <c:lblAlgn val="ctr"/>
        <c:lblOffset val="100"/>
        <c:noMultiLvlLbl val="0"/>
      </c:catAx>
      <c:valAx>
        <c:axId val="112808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24378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MONTABARD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600074745750776E-2"/>
          <c:y val="0.20376240313522415"/>
          <c:w val="0.7540936883645597"/>
          <c:h val="0.4561194390269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Carrières'!$D$174:$D$175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Carrières'!$Q$174:$Q$175</c:f>
              <c:numCache>
                <c:formatCode>#,##0</c:formatCode>
                <c:ptCount val="2"/>
                <c:pt idx="0">
                  <c:v>71175</c:v>
                </c:pt>
                <c:pt idx="1">
                  <c:v>1615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9744927353007877"/>
          <c:y val="0.72235306152223389"/>
          <c:w val="0.15326926713122149"/>
          <c:h val="7.702328108518734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MONTABARD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Carrières'!$D$23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Carrières'!$E$23:$P$23</c:f>
              <c:numCache>
                <c:formatCode>#,##0</c:formatCode>
                <c:ptCount val="12"/>
                <c:pt idx="0">
                  <c:v>5555</c:v>
                </c:pt>
                <c:pt idx="1">
                  <c:v>16352</c:v>
                </c:pt>
                <c:pt idx="2">
                  <c:v>28102</c:v>
                </c:pt>
                <c:pt idx="3">
                  <c:v>28102</c:v>
                </c:pt>
                <c:pt idx="4">
                  <c:v>28102</c:v>
                </c:pt>
                <c:pt idx="5">
                  <c:v>28102</c:v>
                </c:pt>
                <c:pt idx="6">
                  <c:v>28102</c:v>
                </c:pt>
                <c:pt idx="7">
                  <c:v>28102</c:v>
                </c:pt>
                <c:pt idx="8">
                  <c:v>28102</c:v>
                </c:pt>
                <c:pt idx="9">
                  <c:v>28102</c:v>
                </c:pt>
                <c:pt idx="10">
                  <c:v>28102</c:v>
                </c:pt>
                <c:pt idx="11">
                  <c:v>28102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Carrières'!$D$24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Carrières'!$E$24:$P$24</c:f>
              <c:numCache>
                <c:formatCode>#,##0</c:formatCode>
                <c:ptCount val="12"/>
                <c:pt idx="0">
                  <c:v>7218</c:v>
                </c:pt>
                <c:pt idx="1">
                  <c:v>20252</c:v>
                </c:pt>
                <c:pt idx="2">
                  <c:v>24812</c:v>
                </c:pt>
                <c:pt idx="3">
                  <c:v>24812</c:v>
                </c:pt>
                <c:pt idx="4">
                  <c:v>24812</c:v>
                </c:pt>
                <c:pt idx="5">
                  <c:v>24812</c:v>
                </c:pt>
                <c:pt idx="6">
                  <c:v>24812</c:v>
                </c:pt>
                <c:pt idx="7">
                  <c:v>24812</c:v>
                </c:pt>
                <c:pt idx="8">
                  <c:v>24812</c:v>
                </c:pt>
                <c:pt idx="9">
                  <c:v>24812</c:v>
                </c:pt>
                <c:pt idx="10">
                  <c:v>24812</c:v>
                </c:pt>
                <c:pt idx="11">
                  <c:v>24812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Carrières'!$D$25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Carrières'!$E$25:$P$25</c:f>
              <c:numCache>
                <c:formatCode>#,##0</c:formatCode>
                <c:ptCount val="12"/>
                <c:pt idx="0">
                  <c:v>12773</c:v>
                </c:pt>
                <c:pt idx="1">
                  <c:v>36604</c:v>
                </c:pt>
                <c:pt idx="2">
                  <c:v>52914</c:v>
                </c:pt>
                <c:pt idx="3">
                  <c:v>52914</c:v>
                </c:pt>
                <c:pt idx="4">
                  <c:v>52914</c:v>
                </c:pt>
                <c:pt idx="5">
                  <c:v>52914</c:v>
                </c:pt>
                <c:pt idx="6">
                  <c:v>52914</c:v>
                </c:pt>
                <c:pt idx="7">
                  <c:v>52914</c:v>
                </c:pt>
                <c:pt idx="8">
                  <c:v>52914</c:v>
                </c:pt>
                <c:pt idx="9">
                  <c:v>52914</c:v>
                </c:pt>
                <c:pt idx="10">
                  <c:v>52914</c:v>
                </c:pt>
                <c:pt idx="11">
                  <c:v>52914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Carrières'!$D$26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Carrières'!$E$26:$P$26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41450</c:v>
                </c:pt>
                <c:pt idx="3">
                  <c:v>68950</c:v>
                </c:pt>
                <c:pt idx="4">
                  <c:v>92350</c:v>
                </c:pt>
                <c:pt idx="5">
                  <c:v>100550</c:v>
                </c:pt>
                <c:pt idx="6">
                  <c:v>100550</c:v>
                </c:pt>
                <c:pt idx="7">
                  <c:v>106550</c:v>
                </c:pt>
                <c:pt idx="8">
                  <c:v>111485</c:v>
                </c:pt>
                <c:pt idx="9">
                  <c:v>115085</c:v>
                </c:pt>
                <c:pt idx="10">
                  <c:v>124685</c:v>
                </c:pt>
                <c:pt idx="11">
                  <c:v>129485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Carrières'!$D$27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Carrières'!$E$27:$P$27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42650</c:v>
                </c:pt>
                <c:pt idx="3">
                  <c:v>70950</c:v>
                </c:pt>
                <c:pt idx="4">
                  <c:v>94570</c:v>
                </c:pt>
                <c:pt idx="5">
                  <c:v>102770</c:v>
                </c:pt>
                <c:pt idx="6">
                  <c:v>102770</c:v>
                </c:pt>
                <c:pt idx="7">
                  <c:v>108770</c:v>
                </c:pt>
                <c:pt idx="8">
                  <c:v>113705</c:v>
                </c:pt>
                <c:pt idx="9">
                  <c:v>117305</c:v>
                </c:pt>
                <c:pt idx="10">
                  <c:v>126905</c:v>
                </c:pt>
                <c:pt idx="11">
                  <c:v>131705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61952"/>
        <c:axId val="112863488"/>
      </c:lineChart>
      <c:catAx>
        <c:axId val="11286195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2863488"/>
        <c:crosses val="autoZero"/>
        <c:auto val="1"/>
        <c:lblAlgn val="ctr"/>
        <c:lblOffset val="100"/>
        <c:noMultiLvlLbl val="0"/>
      </c:catAx>
      <c:valAx>
        <c:axId val="112863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28619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SURDON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Carrières'!$B$186:$D$186</c:f>
              <c:strCache>
                <c:ptCount val="1"/>
                <c:pt idx="0">
                  <c:v>SURDON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Carrières'!$E$185:$P$185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Carrières'!$E$186:$P$186</c:f>
              <c:numCache>
                <c:formatCode>#,##0</c:formatCode>
                <c:ptCount val="12"/>
                <c:pt idx="0">
                  <c:v>11642</c:v>
                </c:pt>
                <c:pt idx="1">
                  <c:v>11746</c:v>
                </c:pt>
                <c:pt idx="2">
                  <c:v>8758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Carrières'!$B$187:$D$187</c:f>
              <c:strCache>
                <c:ptCount val="1"/>
                <c:pt idx="0">
                  <c:v>SURDON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Carrières'!$E$185:$P$185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Carrières'!$E$187:$P$187</c:f>
              <c:numCache>
                <c:formatCode>#,##0</c:formatCode>
                <c:ptCount val="12"/>
                <c:pt idx="0">
                  <c:v>0</c:v>
                </c:pt>
                <c:pt idx="1">
                  <c:v>3576</c:v>
                </c:pt>
                <c:pt idx="2">
                  <c:v>1641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Carrières'!$B$188:$D$188</c:f>
              <c:strCache>
                <c:ptCount val="1"/>
                <c:pt idx="0">
                  <c:v>SURDON Mensuel 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Carrières'!$E$185:$P$185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Carrières'!$E$188:$P$188</c:f>
              <c:numCache>
                <c:formatCode>#,##0</c:formatCode>
                <c:ptCount val="12"/>
                <c:pt idx="0">
                  <c:v>11642</c:v>
                </c:pt>
                <c:pt idx="1">
                  <c:v>15322</c:v>
                </c:pt>
                <c:pt idx="2">
                  <c:v>10399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Carrières'!$B$189:$D$189</c:f>
              <c:strCache>
                <c:ptCount val="1"/>
                <c:pt idx="0">
                  <c:v>SURDON 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Carrières'!$E$185:$P$185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Carrières'!$E$189:$P$189</c:f>
              <c:numCache>
                <c:formatCode>#,##0</c:formatCode>
                <c:ptCount val="12"/>
                <c:pt idx="0">
                  <c:v>18800</c:v>
                </c:pt>
                <c:pt idx="1">
                  <c:v>17600</c:v>
                </c:pt>
                <c:pt idx="2">
                  <c:v>22200</c:v>
                </c:pt>
                <c:pt idx="3">
                  <c:v>33800</c:v>
                </c:pt>
                <c:pt idx="4">
                  <c:v>20970</c:v>
                </c:pt>
                <c:pt idx="5">
                  <c:v>27914</c:v>
                </c:pt>
                <c:pt idx="6">
                  <c:v>44648</c:v>
                </c:pt>
                <c:pt idx="7">
                  <c:v>23500</c:v>
                </c:pt>
                <c:pt idx="8">
                  <c:v>20500</c:v>
                </c:pt>
                <c:pt idx="9">
                  <c:v>23039</c:v>
                </c:pt>
                <c:pt idx="10">
                  <c:v>4300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Carrières'!$B$195:$D$195</c:f>
              <c:strCache>
                <c:ptCount val="1"/>
                <c:pt idx="0">
                  <c:v>SURDON Prévision ajustée cumulée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Carrières'!$E$185:$P$185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Carrières'!$E$195:$P$195</c:f>
              <c:numCache>
                <c:formatCode>#,##0</c:formatCode>
                <c:ptCount val="12"/>
                <c:pt idx="0">
                  <c:v>18800</c:v>
                </c:pt>
                <c:pt idx="1">
                  <c:v>26400</c:v>
                </c:pt>
                <c:pt idx="2">
                  <c:v>48100</c:v>
                </c:pt>
                <c:pt idx="3">
                  <c:v>74200</c:v>
                </c:pt>
                <c:pt idx="4">
                  <c:v>95170</c:v>
                </c:pt>
                <c:pt idx="5">
                  <c:v>127530</c:v>
                </c:pt>
                <c:pt idx="6">
                  <c:v>172728</c:v>
                </c:pt>
                <c:pt idx="7">
                  <c:v>193728</c:v>
                </c:pt>
                <c:pt idx="8">
                  <c:v>220328</c:v>
                </c:pt>
                <c:pt idx="9">
                  <c:v>241267</c:v>
                </c:pt>
                <c:pt idx="10">
                  <c:v>245567</c:v>
                </c:pt>
                <c:pt idx="11">
                  <c:v>245567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54304"/>
        <c:axId val="109155840"/>
      </c:lineChart>
      <c:catAx>
        <c:axId val="109154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9155840"/>
        <c:crosses val="autoZero"/>
        <c:auto val="1"/>
        <c:lblAlgn val="ctr"/>
        <c:lblOffset val="100"/>
        <c:noMultiLvlLbl val="0"/>
      </c:catAx>
      <c:valAx>
        <c:axId val="109155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09154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SURDON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56354833601551E-2"/>
          <c:y val="0.21276899467057278"/>
          <c:w val="0.66768980665815647"/>
          <c:h val="0.404336831088359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Carrières'!$D$186:$D$187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Carrières'!$Q$186:$Q$187</c:f>
              <c:numCache>
                <c:formatCode>#,##0</c:formatCode>
                <c:ptCount val="2"/>
                <c:pt idx="0">
                  <c:v>32146</c:v>
                </c:pt>
                <c:pt idx="1">
                  <c:v>5217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7964418245355588"/>
          <c:y val="0.72054598835231121"/>
          <c:w val="0.15331181485418452"/>
          <c:h val="7.713612896226475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SURDON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Carrières'!$D$23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Carrières'!$E$23:$P$23</c:f>
              <c:numCache>
                <c:formatCode>#,##0</c:formatCode>
                <c:ptCount val="12"/>
                <c:pt idx="0">
                  <c:v>5555</c:v>
                </c:pt>
                <c:pt idx="1">
                  <c:v>16352</c:v>
                </c:pt>
                <c:pt idx="2">
                  <c:v>28102</c:v>
                </c:pt>
                <c:pt idx="3">
                  <c:v>28102</c:v>
                </c:pt>
                <c:pt idx="4">
                  <c:v>28102</c:v>
                </c:pt>
                <c:pt idx="5">
                  <c:v>28102</c:v>
                </c:pt>
                <c:pt idx="6">
                  <c:v>28102</c:v>
                </c:pt>
                <c:pt idx="7">
                  <c:v>28102</c:v>
                </c:pt>
                <c:pt idx="8">
                  <c:v>28102</c:v>
                </c:pt>
                <c:pt idx="9">
                  <c:v>28102</c:v>
                </c:pt>
                <c:pt idx="10">
                  <c:v>28102</c:v>
                </c:pt>
                <c:pt idx="11">
                  <c:v>28102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Carrières'!$D$24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Carrières'!$E$24:$P$24</c:f>
              <c:numCache>
                <c:formatCode>#,##0</c:formatCode>
                <c:ptCount val="12"/>
                <c:pt idx="0">
                  <c:v>7218</c:v>
                </c:pt>
                <c:pt idx="1">
                  <c:v>20252</c:v>
                </c:pt>
                <c:pt idx="2">
                  <c:v>24812</c:v>
                </c:pt>
                <c:pt idx="3">
                  <c:v>24812</c:v>
                </c:pt>
                <c:pt idx="4">
                  <c:v>24812</c:v>
                </c:pt>
                <c:pt idx="5">
                  <c:v>24812</c:v>
                </c:pt>
                <c:pt idx="6">
                  <c:v>24812</c:v>
                </c:pt>
                <c:pt idx="7">
                  <c:v>24812</c:v>
                </c:pt>
                <c:pt idx="8">
                  <c:v>24812</c:v>
                </c:pt>
                <c:pt idx="9">
                  <c:v>24812</c:v>
                </c:pt>
                <c:pt idx="10">
                  <c:v>24812</c:v>
                </c:pt>
                <c:pt idx="11">
                  <c:v>24812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Carrières'!$D$25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Carrières'!$E$25:$P$25</c:f>
              <c:numCache>
                <c:formatCode>#,##0</c:formatCode>
                <c:ptCount val="12"/>
                <c:pt idx="0">
                  <c:v>12773</c:v>
                </c:pt>
                <c:pt idx="1">
                  <c:v>36604</c:v>
                </c:pt>
                <c:pt idx="2">
                  <c:v>52914</c:v>
                </c:pt>
                <c:pt idx="3">
                  <c:v>52914</c:v>
                </c:pt>
                <c:pt idx="4">
                  <c:v>52914</c:v>
                </c:pt>
                <c:pt idx="5">
                  <c:v>52914</c:v>
                </c:pt>
                <c:pt idx="6">
                  <c:v>52914</c:v>
                </c:pt>
                <c:pt idx="7">
                  <c:v>52914</c:v>
                </c:pt>
                <c:pt idx="8">
                  <c:v>52914</c:v>
                </c:pt>
                <c:pt idx="9">
                  <c:v>52914</c:v>
                </c:pt>
                <c:pt idx="10">
                  <c:v>52914</c:v>
                </c:pt>
                <c:pt idx="11">
                  <c:v>52914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Carrières'!$D$26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Carrières'!$E$26:$P$26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41450</c:v>
                </c:pt>
                <c:pt idx="3">
                  <c:v>68950</c:v>
                </c:pt>
                <c:pt idx="4">
                  <c:v>92350</c:v>
                </c:pt>
                <c:pt idx="5">
                  <c:v>100550</c:v>
                </c:pt>
                <c:pt idx="6">
                  <c:v>100550</c:v>
                </c:pt>
                <c:pt idx="7">
                  <c:v>106550</c:v>
                </c:pt>
                <c:pt idx="8">
                  <c:v>111485</c:v>
                </c:pt>
                <c:pt idx="9">
                  <c:v>115085</c:v>
                </c:pt>
                <c:pt idx="10">
                  <c:v>124685</c:v>
                </c:pt>
                <c:pt idx="11">
                  <c:v>129485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Carrières'!$D$27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Carrières'!$E$27:$P$27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42650</c:v>
                </c:pt>
                <c:pt idx="3">
                  <c:v>70950</c:v>
                </c:pt>
                <c:pt idx="4">
                  <c:v>94570</c:v>
                </c:pt>
                <c:pt idx="5">
                  <c:v>102770</c:v>
                </c:pt>
                <c:pt idx="6">
                  <c:v>102770</c:v>
                </c:pt>
                <c:pt idx="7">
                  <c:v>108770</c:v>
                </c:pt>
                <c:pt idx="8">
                  <c:v>113705</c:v>
                </c:pt>
                <c:pt idx="9">
                  <c:v>117305</c:v>
                </c:pt>
                <c:pt idx="10">
                  <c:v>126905</c:v>
                </c:pt>
                <c:pt idx="11">
                  <c:v>131705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13248"/>
        <c:axId val="112614784"/>
      </c:lineChart>
      <c:catAx>
        <c:axId val="11261324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2614784"/>
        <c:crosses val="autoZero"/>
        <c:auto val="1"/>
        <c:lblAlgn val="ctr"/>
        <c:lblOffset val="100"/>
        <c:noMultiLvlLbl val="0"/>
      </c:catAx>
      <c:valAx>
        <c:axId val="112614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12613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image" Target="../media/image2.PNG"/><Relationship Id="rId18" Type="http://schemas.openxmlformats.org/officeDocument/2006/relationships/chart" Target="../charts/chart31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image" Target="../media/image1.PNG"/><Relationship Id="rId17" Type="http://schemas.openxmlformats.org/officeDocument/2006/relationships/chart" Target="../charts/chart30.xml"/><Relationship Id="rId2" Type="http://schemas.openxmlformats.org/officeDocument/2006/relationships/chart" Target="../charts/chart17.xml"/><Relationship Id="rId16" Type="http://schemas.openxmlformats.org/officeDocument/2006/relationships/chart" Target="../charts/chart29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5" Type="http://schemas.openxmlformats.org/officeDocument/2006/relationships/chart" Target="../charts/chart28.xml"/><Relationship Id="rId10" Type="http://schemas.openxmlformats.org/officeDocument/2006/relationships/chart" Target="../charts/chart25.xml"/><Relationship Id="rId19" Type="http://schemas.openxmlformats.org/officeDocument/2006/relationships/chart" Target="../charts/chart32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chart" Target="../charts/chart27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3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12" Type="http://schemas.openxmlformats.org/officeDocument/2006/relationships/image" Target="../media/image2.PNG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image" Target="../media/image1.PNG"/><Relationship Id="rId5" Type="http://schemas.openxmlformats.org/officeDocument/2006/relationships/chart" Target="../charts/chart37.xml"/><Relationship Id="rId10" Type="http://schemas.openxmlformats.org/officeDocument/2006/relationships/chart" Target="../charts/chart42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8.xml"/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7.xml"/><Relationship Id="rId2" Type="http://schemas.openxmlformats.org/officeDocument/2006/relationships/chart" Target="../charts/chart96.xml"/><Relationship Id="rId1" Type="http://schemas.openxmlformats.org/officeDocument/2006/relationships/chart" Target="../charts/chart95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3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6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9.xml"/><Relationship Id="rId2" Type="http://schemas.openxmlformats.org/officeDocument/2006/relationships/chart" Target="../charts/chart108.xml"/><Relationship Id="rId1" Type="http://schemas.openxmlformats.org/officeDocument/2006/relationships/chart" Target="../charts/chart10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2.xml"/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5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8.xml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42423</xdr:rowOff>
    </xdr:from>
    <xdr:to>
      <xdr:col>16</xdr:col>
      <xdr:colOff>770400</xdr:colOff>
      <xdr:row>18</xdr:row>
      <xdr:rowOff>100923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165126</xdr:rowOff>
    </xdr:from>
    <xdr:to>
      <xdr:col>16</xdr:col>
      <xdr:colOff>770400</xdr:colOff>
      <xdr:row>34</xdr:row>
      <xdr:rowOff>33126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113580</xdr:rowOff>
    </xdr:from>
    <xdr:to>
      <xdr:col>16</xdr:col>
      <xdr:colOff>770400</xdr:colOff>
      <xdr:row>49</xdr:row>
      <xdr:rowOff>172080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0.05564</cdr:x>
      <cdr:y>0.2873</cdr:y>
    </cdr:from>
    <cdr:to>
      <cdr:x>0.96857</cdr:x>
      <cdr:y>0.29157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08025" y="1069975"/>
          <a:ext cx="11617380" cy="1590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0.0478</cdr:x>
      <cdr:y>0.19453</cdr:y>
    </cdr:from>
    <cdr:to>
      <cdr:x>0.96347</cdr:x>
      <cdr:y>0.19546</cdr:y>
    </cdr:to>
    <cdr:cxnSp macro="">
      <cdr:nvCxnSpPr>
        <cdr:cNvPr id="2" name="Connecteur droit 1"/>
        <cdr:cNvCxnSpPr/>
      </cdr:nvCxnSpPr>
      <cdr:spPr>
        <a:xfrm xmlns:a="http://schemas.openxmlformats.org/drawingml/2006/main" flipV="1">
          <a:off x="648958" y="588265"/>
          <a:ext cx="12432189" cy="279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0.0534</cdr:x>
      <cdr:y>0.18617</cdr:y>
    </cdr:from>
    <cdr:to>
      <cdr:x>0.96907</cdr:x>
      <cdr:y>0.19054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26278" y="562988"/>
          <a:ext cx="12453531" cy="1321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168728</xdr:rowOff>
    </xdr:from>
    <xdr:to>
      <xdr:col>16</xdr:col>
      <xdr:colOff>770118</xdr:colOff>
      <xdr:row>18</xdr:row>
      <xdr:rowOff>36728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128868</xdr:rowOff>
    </xdr:from>
    <xdr:to>
      <xdr:col>16</xdr:col>
      <xdr:colOff>770118</xdr:colOff>
      <xdr:row>49</xdr:row>
      <xdr:rowOff>187368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137431</xdr:rowOff>
    </xdr:from>
    <xdr:to>
      <xdr:col>16</xdr:col>
      <xdr:colOff>770118</xdr:colOff>
      <xdr:row>34</xdr:row>
      <xdr:rowOff>5431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0.05489</cdr:x>
      <cdr:y>0.42278</cdr:y>
    </cdr:from>
    <cdr:to>
      <cdr:x>0.96782</cdr:x>
      <cdr:y>0.42705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38640" y="1232829"/>
          <a:ext cx="12285061" cy="1245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0.05405</cdr:x>
      <cdr:y>0.37555</cdr:y>
    </cdr:from>
    <cdr:to>
      <cdr:x>0.96972</cdr:x>
      <cdr:y>0.37992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27362" y="1095103"/>
          <a:ext cx="12321932" cy="12743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0.05322</cdr:x>
      <cdr:y>0.39081</cdr:y>
    </cdr:from>
    <cdr:to>
      <cdr:x>0.96615</cdr:x>
      <cdr:y>0.39508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16228" y="1139596"/>
          <a:ext cx="12285061" cy="1245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103413</xdr:rowOff>
    </xdr:from>
    <xdr:to>
      <xdr:col>16</xdr:col>
      <xdr:colOff>726857</xdr:colOff>
      <xdr:row>17</xdr:row>
      <xdr:rowOff>161913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74838</xdr:rowOff>
    </xdr:from>
    <xdr:to>
      <xdr:col>16</xdr:col>
      <xdr:colOff>726857</xdr:colOff>
      <xdr:row>33</xdr:row>
      <xdr:rowOff>133338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228600</xdr:colOff>
      <xdr:row>8</xdr:row>
      <xdr:rowOff>38100</xdr:rowOff>
    </xdr:from>
    <xdr:to>
      <xdr:col>15</xdr:col>
      <xdr:colOff>752475</xdr:colOff>
      <xdr:row>8</xdr:row>
      <xdr:rowOff>38100</xdr:rowOff>
    </xdr:to>
    <xdr:cxnSp macro="">
      <xdr:nvCxnSpPr>
        <xdr:cNvPr id="5" name="Connecteur droit 4"/>
        <xdr:cNvCxnSpPr/>
      </xdr:nvCxnSpPr>
      <xdr:spPr>
        <a:xfrm>
          <a:off x="990600" y="1371600"/>
          <a:ext cx="11191875" cy="0"/>
        </a:xfrm>
        <a:prstGeom prst="line">
          <a:avLst/>
        </a:prstGeom>
        <a:ln w="38100">
          <a:solidFill>
            <a:schemeClr val="accent1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34</xdr:row>
      <xdr:rowOff>55787</xdr:rowOff>
    </xdr:from>
    <xdr:to>
      <xdr:col>16</xdr:col>
      <xdr:colOff>726857</xdr:colOff>
      <xdr:row>49</xdr:row>
      <xdr:rowOff>114287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0.04379</cdr:x>
      <cdr:y>0.2349</cdr:y>
    </cdr:from>
    <cdr:to>
      <cdr:x>0.95946</cdr:x>
      <cdr:y>0.23955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555548" y="803243"/>
          <a:ext cx="11617380" cy="1590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0.05956</cdr:x>
      <cdr:y>0.24497</cdr:y>
    </cdr:from>
    <cdr:to>
      <cdr:x>0.97523</cdr:x>
      <cdr:y>0.24934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55633" y="889000"/>
          <a:ext cx="11617380" cy="15859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69861</xdr:rowOff>
    </xdr:from>
    <xdr:to>
      <xdr:col>16</xdr:col>
      <xdr:colOff>765205</xdr:colOff>
      <xdr:row>18</xdr:row>
      <xdr:rowOff>86948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15371</xdr:rowOff>
    </xdr:from>
    <xdr:to>
      <xdr:col>16</xdr:col>
      <xdr:colOff>765205</xdr:colOff>
      <xdr:row>34</xdr:row>
      <xdr:rowOff>32458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150964</xdr:rowOff>
    </xdr:from>
    <xdr:to>
      <xdr:col>16</xdr:col>
      <xdr:colOff>765205</xdr:colOff>
      <xdr:row>49</xdr:row>
      <xdr:rowOff>168051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0.04666</cdr:x>
      <cdr:y>0.58142</cdr:y>
    </cdr:from>
    <cdr:to>
      <cdr:x>0.95959</cdr:x>
      <cdr:y>0.58568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593725" y="2165350"/>
          <a:ext cx="11617380" cy="1590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0.02953</cdr:x>
      <cdr:y>0.23769</cdr:y>
    </cdr:from>
    <cdr:to>
      <cdr:x>0.9452</cdr:x>
      <cdr:y>0.24234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374675" y="812791"/>
          <a:ext cx="11617380" cy="1590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0.05431</cdr:x>
      <cdr:y>0.3297</cdr:y>
    </cdr:from>
    <cdr:to>
      <cdr:x>0.96998</cdr:x>
      <cdr:y>0.33408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37293" y="961411"/>
          <a:ext cx="12430806" cy="1277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687802</xdr:colOff>
      <xdr:row>31</xdr:row>
      <xdr:rowOff>188817</xdr:rowOff>
    </xdr:from>
    <xdr:to>
      <xdr:col>7</xdr:col>
      <xdr:colOff>672354</xdr:colOff>
      <xdr:row>51</xdr:row>
      <xdr:rowOff>84042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717177</xdr:colOff>
      <xdr:row>32</xdr:row>
      <xdr:rowOff>22413</xdr:rowOff>
    </xdr:from>
    <xdr:to>
      <xdr:col>12</xdr:col>
      <xdr:colOff>802583</xdr:colOff>
      <xdr:row>51</xdr:row>
      <xdr:rowOff>108138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885265</xdr:colOff>
      <xdr:row>32</xdr:row>
      <xdr:rowOff>33618</xdr:rowOff>
    </xdr:from>
    <xdr:to>
      <xdr:col>18</xdr:col>
      <xdr:colOff>679317</xdr:colOff>
      <xdr:row>51</xdr:row>
      <xdr:rowOff>119343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38953</xdr:rowOff>
    </xdr:from>
    <xdr:to>
      <xdr:col>9</xdr:col>
      <xdr:colOff>372934</xdr:colOff>
      <xdr:row>27</xdr:row>
      <xdr:rowOff>103453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20524</xdr:colOff>
      <xdr:row>3</xdr:row>
      <xdr:rowOff>7611</xdr:rowOff>
    </xdr:from>
    <xdr:to>
      <xdr:col>19</xdr:col>
      <xdr:colOff>414406</xdr:colOff>
      <xdr:row>14</xdr:row>
      <xdr:rowOff>184170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25774</xdr:colOff>
      <xdr:row>17</xdr:row>
      <xdr:rowOff>19049</xdr:rowOff>
    </xdr:from>
    <xdr:to>
      <xdr:col>24</xdr:col>
      <xdr:colOff>430514</xdr:colOff>
      <xdr:row>24</xdr:row>
      <xdr:rowOff>181579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11206</xdr:colOff>
      <xdr:row>17</xdr:row>
      <xdr:rowOff>15447</xdr:rowOff>
    </xdr:from>
    <xdr:to>
      <xdr:col>29</xdr:col>
      <xdr:colOff>416506</xdr:colOff>
      <xdr:row>25</xdr:row>
      <xdr:rowOff>3447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14568</xdr:colOff>
      <xdr:row>26</xdr:row>
      <xdr:rowOff>1317</xdr:rowOff>
    </xdr:from>
    <xdr:to>
      <xdr:col>24</xdr:col>
      <xdr:colOff>419868</xdr:colOff>
      <xdr:row>33</xdr:row>
      <xdr:rowOff>109765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2483</xdr:colOff>
      <xdr:row>25</xdr:row>
      <xdr:rowOff>187700</xdr:rowOff>
    </xdr:from>
    <xdr:to>
      <xdr:col>29</xdr:col>
      <xdr:colOff>407369</xdr:colOff>
      <xdr:row>33</xdr:row>
      <xdr:rowOff>105648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22410</xdr:colOff>
      <xdr:row>34</xdr:row>
      <xdr:rowOff>122656</xdr:rowOff>
    </xdr:from>
    <xdr:to>
      <xdr:col>24</xdr:col>
      <xdr:colOff>427710</xdr:colOff>
      <xdr:row>42</xdr:row>
      <xdr:rowOff>38656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444359</xdr:colOff>
      <xdr:row>34</xdr:row>
      <xdr:rowOff>120292</xdr:rowOff>
    </xdr:from>
    <xdr:to>
      <xdr:col>29</xdr:col>
      <xdr:colOff>401570</xdr:colOff>
      <xdr:row>42</xdr:row>
      <xdr:rowOff>36292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22412</xdr:colOff>
      <xdr:row>43</xdr:row>
      <xdr:rowOff>59637</xdr:rowOff>
    </xdr:from>
    <xdr:to>
      <xdr:col>24</xdr:col>
      <xdr:colOff>427712</xdr:colOff>
      <xdr:row>50</xdr:row>
      <xdr:rowOff>171008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9111</xdr:colOff>
      <xdr:row>43</xdr:row>
      <xdr:rowOff>53814</xdr:rowOff>
    </xdr:from>
    <xdr:to>
      <xdr:col>29</xdr:col>
      <xdr:colOff>413997</xdr:colOff>
      <xdr:row>50</xdr:row>
      <xdr:rowOff>165185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4</xdr:row>
      <xdr:rowOff>72108</xdr:rowOff>
    </xdr:from>
    <xdr:to>
      <xdr:col>9</xdr:col>
      <xdr:colOff>366652</xdr:colOff>
      <xdr:row>16</xdr:row>
      <xdr:rowOff>2137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5</xdr:col>
      <xdr:colOff>55374</xdr:colOff>
      <xdr:row>31</xdr:row>
      <xdr:rowOff>139124</xdr:rowOff>
    </xdr:from>
    <xdr:to>
      <xdr:col>7</xdr:col>
      <xdr:colOff>171450</xdr:colOff>
      <xdr:row>34</xdr:row>
      <xdr:rowOff>103284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749" y="5777924"/>
          <a:ext cx="1011426" cy="535660"/>
        </a:xfrm>
        <a:prstGeom prst="rect">
          <a:avLst/>
        </a:prstGeom>
      </xdr:spPr>
    </xdr:pic>
    <xdr:clientData/>
  </xdr:twoCellAnchor>
  <xdr:twoCellAnchor editAs="oneCell">
    <xdr:from>
      <xdr:col>7</xdr:col>
      <xdr:colOff>192717</xdr:colOff>
      <xdr:row>31</xdr:row>
      <xdr:rowOff>130330</xdr:rowOff>
    </xdr:from>
    <xdr:to>
      <xdr:col>9</xdr:col>
      <xdr:colOff>372213</xdr:colOff>
      <xdr:row>34</xdr:row>
      <xdr:rowOff>114300</xdr:rowOff>
    </xdr:to>
    <xdr:pic>
      <xdr:nvPicPr>
        <xdr:cNvPr id="19" name="Image 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442" y="5769130"/>
          <a:ext cx="1074846" cy="5554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185849</xdr:rowOff>
    </xdr:from>
    <xdr:to>
      <xdr:col>9</xdr:col>
      <xdr:colOff>393882</xdr:colOff>
      <xdr:row>50</xdr:row>
      <xdr:rowOff>59849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11207</xdr:colOff>
      <xdr:row>27</xdr:row>
      <xdr:rowOff>134470</xdr:rowOff>
    </xdr:from>
    <xdr:to>
      <xdr:col>5</xdr:col>
      <xdr:colOff>9525</xdr:colOff>
      <xdr:row>34</xdr:row>
      <xdr:rowOff>85725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20</xdr:col>
      <xdr:colOff>25773</xdr:colOff>
      <xdr:row>16</xdr:row>
      <xdr:rowOff>33057</xdr:rowOff>
    </xdr:from>
    <xdr:to>
      <xdr:col>22</xdr:col>
      <xdr:colOff>261097</xdr:colOff>
      <xdr:row>16</xdr:row>
      <xdr:rowOff>177057</xdr:rowOff>
    </xdr:to>
    <xdr:sp macro="" textlink="">
      <xdr:nvSpPr>
        <xdr:cNvPr id="22" name="ZoneTexte 21"/>
        <xdr:cNvSpPr txBox="1"/>
      </xdr:nvSpPr>
      <xdr:spPr>
        <a:xfrm>
          <a:off x="8979273" y="2814357"/>
          <a:ext cx="1130674" cy="1440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OFI</a:t>
          </a:r>
        </a:p>
      </xdr:txBody>
    </xdr:sp>
    <xdr:clientData/>
  </xdr:twoCellAnchor>
  <xdr:twoCellAnchor>
    <xdr:from>
      <xdr:col>20</xdr:col>
      <xdr:colOff>5043</xdr:colOff>
      <xdr:row>42</xdr:row>
      <xdr:rowOff>79563</xdr:rowOff>
    </xdr:from>
    <xdr:to>
      <xdr:col>22</xdr:col>
      <xdr:colOff>240367</xdr:colOff>
      <xdr:row>43</xdr:row>
      <xdr:rowOff>33063</xdr:rowOff>
    </xdr:to>
    <xdr:sp macro="" textlink="">
      <xdr:nvSpPr>
        <xdr:cNvPr id="23" name="ZoneTexte 22"/>
        <xdr:cNvSpPr txBox="1"/>
      </xdr:nvSpPr>
      <xdr:spPr>
        <a:xfrm>
          <a:off x="8958543" y="7813863"/>
          <a:ext cx="1130674" cy="1440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GEOPARTS</a:t>
          </a:r>
        </a:p>
      </xdr:txBody>
    </xdr:sp>
    <xdr:clientData/>
  </xdr:twoCellAnchor>
  <xdr:twoCellAnchor>
    <xdr:from>
      <xdr:col>20</xdr:col>
      <xdr:colOff>17929</xdr:colOff>
      <xdr:row>33</xdr:row>
      <xdr:rowOff>143435</xdr:rowOff>
    </xdr:from>
    <xdr:to>
      <xdr:col>22</xdr:col>
      <xdr:colOff>253253</xdr:colOff>
      <xdr:row>34</xdr:row>
      <xdr:rowOff>96935</xdr:rowOff>
    </xdr:to>
    <xdr:sp macro="" textlink="">
      <xdr:nvSpPr>
        <xdr:cNvPr id="24" name="ZoneTexte 23"/>
        <xdr:cNvSpPr txBox="1"/>
      </xdr:nvSpPr>
      <xdr:spPr>
        <a:xfrm>
          <a:off x="8971429" y="6163235"/>
          <a:ext cx="1130674" cy="144000"/>
        </a:xfrm>
        <a:prstGeom prst="rect">
          <a:avLst/>
        </a:prstGeom>
        <a:solidFill>
          <a:srgbClr val="92D05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VFLI</a:t>
          </a:r>
        </a:p>
      </xdr:txBody>
    </xdr:sp>
    <xdr:clientData/>
  </xdr:twoCellAnchor>
  <xdr:twoCellAnchor>
    <xdr:from>
      <xdr:col>20</xdr:col>
      <xdr:colOff>26334</xdr:colOff>
      <xdr:row>25</xdr:row>
      <xdr:rowOff>16809</xdr:rowOff>
    </xdr:from>
    <xdr:to>
      <xdr:col>22</xdr:col>
      <xdr:colOff>261658</xdr:colOff>
      <xdr:row>25</xdr:row>
      <xdr:rowOff>160809</xdr:rowOff>
    </xdr:to>
    <xdr:sp macro="" textlink="">
      <xdr:nvSpPr>
        <xdr:cNvPr id="25" name="ZoneTexte 24"/>
        <xdr:cNvSpPr txBox="1"/>
      </xdr:nvSpPr>
      <xdr:spPr>
        <a:xfrm>
          <a:off x="8979834" y="4512609"/>
          <a:ext cx="1130674" cy="144000"/>
        </a:xfrm>
        <a:prstGeom prst="rect">
          <a:avLst/>
        </a:prstGeom>
        <a:solidFill>
          <a:srgbClr val="FCD268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FRET</a:t>
          </a:r>
        </a:p>
      </xdr:txBody>
    </xdr:sp>
    <xdr:clientData/>
  </xdr:twoCellAnchor>
  <xdr:twoCellAnchor>
    <xdr:from>
      <xdr:col>10</xdr:col>
      <xdr:colOff>25381</xdr:colOff>
      <xdr:row>38</xdr:row>
      <xdr:rowOff>164350</xdr:rowOff>
    </xdr:from>
    <xdr:to>
      <xdr:col>12</xdr:col>
      <xdr:colOff>260704</xdr:colOff>
      <xdr:row>39</xdr:row>
      <xdr:rowOff>117850</xdr:rowOff>
    </xdr:to>
    <xdr:sp macro="" textlink="">
      <xdr:nvSpPr>
        <xdr:cNvPr id="26" name="ZoneTexte 25"/>
        <xdr:cNvSpPr txBox="1"/>
      </xdr:nvSpPr>
      <xdr:spPr>
        <a:xfrm>
          <a:off x="4502131" y="7136650"/>
          <a:ext cx="1130673" cy="144000"/>
        </a:xfrm>
        <a:prstGeom prst="rect">
          <a:avLst/>
        </a:prstGeom>
        <a:solidFill>
          <a:schemeClr val="accent6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NORD OUEST</a:t>
          </a:r>
        </a:p>
      </xdr:txBody>
    </xdr:sp>
    <xdr:clientData/>
  </xdr:twoCellAnchor>
  <xdr:twoCellAnchor>
    <xdr:from>
      <xdr:col>10</xdr:col>
      <xdr:colOff>29134</xdr:colOff>
      <xdr:row>15</xdr:row>
      <xdr:rowOff>15494</xdr:rowOff>
    </xdr:from>
    <xdr:to>
      <xdr:col>12</xdr:col>
      <xdr:colOff>264457</xdr:colOff>
      <xdr:row>15</xdr:row>
      <xdr:rowOff>159494</xdr:rowOff>
    </xdr:to>
    <xdr:sp macro="" textlink="">
      <xdr:nvSpPr>
        <xdr:cNvPr id="27" name="ZoneTexte 26"/>
        <xdr:cNvSpPr txBox="1"/>
      </xdr:nvSpPr>
      <xdr:spPr>
        <a:xfrm>
          <a:off x="4501743" y="2607951"/>
          <a:ext cx="1129844" cy="144000"/>
        </a:xfrm>
        <a:prstGeom prst="rect">
          <a:avLst/>
        </a:prstGeom>
        <a:solidFill>
          <a:schemeClr val="accent3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NORD EST</a:t>
          </a:r>
        </a:p>
      </xdr:txBody>
    </xdr:sp>
    <xdr:clientData/>
  </xdr:twoCellAnchor>
  <xdr:twoCellAnchor>
    <xdr:from>
      <xdr:col>0</xdr:col>
      <xdr:colOff>0</xdr:colOff>
      <xdr:row>37</xdr:row>
      <xdr:rowOff>147916</xdr:rowOff>
    </xdr:from>
    <xdr:to>
      <xdr:col>2</xdr:col>
      <xdr:colOff>235323</xdr:colOff>
      <xdr:row>38</xdr:row>
      <xdr:rowOff>101416</xdr:rowOff>
    </xdr:to>
    <xdr:sp macro="" textlink="">
      <xdr:nvSpPr>
        <xdr:cNvPr id="28" name="ZoneTexte 27"/>
        <xdr:cNvSpPr txBox="1"/>
      </xdr:nvSpPr>
      <xdr:spPr>
        <a:xfrm>
          <a:off x="0" y="6931373"/>
          <a:ext cx="1129845" cy="144000"/>
        </a:xfrm>
        <a:prstGeom prst="rect">
          <a:avLst/>
        </a:prstGeom>
        <a:solidFill>
          <a:schemeClr val="accent5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SUD</a:t>
          </a:r>
        </a:p>
      </xdr:txBody>
    </xdr:sp>
    <xdr:clientData/>
  </xdr:twoCellAnchor>
  <xdr:twoCellAnchor>
    <xdr:from>
      <xdr:col>10</xdr:col>
      <xdr:colOff>22410</xdr:colOff>
      <xdr:row>15</xdr:row>
      <xdr:rowOff>189038</xdr:rowOff>
    </xdr:from>
    <xdr:to>
      <xdr:col>19</xdr:col>
      <xdr:colOff>416292</xdr:colOff>
      <xdr:row>27</xdr:row>
      <xdr:rowOff>63038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16029</xdr:colOff>
      <xdr:row>27</xdr:row>
      <xdr:rowOff>82557</xdr:rowOff>
    </xdr:from>
    <xdr:to>
      <xdr:col>19</xdr:col>
      <xdr:colOff>418681</xdr:colOff>
      <xdr:row>38</xdr:row>
      <xdr:rowOff>147057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42656</xdr:colOff>
      <xdr:row>39</xdr:row>
      <xdr:rowOff>135835</xdr:rowOff>
    </xdr:from>
    <xdr:to>
      <xdr:col>19</xdr:col>
      <xdr:colOff>445308</xdr:colOff>
      <xdr:row>51</xdr:row>
      <xdr:rowOff>9835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20</xdr:col>
      <xdr:colOff>31059</xdr:colOff>
      <xdr:row>2</xdr:row>
      <xdr:rowOff>31888</xdr:rowOff>
    </xdr:from>
    <xdr:to>
      <xdr:col>29</xdr:col>
      <xdr:colOff>434125</xdr:colOff>
      <xdr:row>14</xdr:row>
      <xdr:rowOff>173416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38953</xdr:rowOff>
    </xdr:from>
    <xdr:to>
      <xdr:col>9</xdr:col>
      <xdr:colOff>372934</xdr:colOff>
      <xdr:row>27</xdr:row>
      <xdr:rowOff>103453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25774</xdr:colOff>
      <xdr:row>17</xdr:row>
      <xdr:rowOff>19049</xdr:rowOff>
    </xdr:from>
    <xdr:to>
      <xdr:col>24</xdr:col>
      <xdr:colOff>430514</xdr:colOff>
      <xdr:row>24</xdr:row>
      <xdr:rowOff>181579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11206</xdr:colOff>
      <xdr:row>17</xdr:row>
      <xdr:rowOff>15447</xdr:rowOff>
    </xdr:from>
    <xdr:to>
      <xdr:col>29</xdr:col>
      <xdr:colOff>416506</xdr:colOff>
      <xdr:row>25</xdr:row>
      <xdr:rowOff>3447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14568</xdr:colOff>
      <xdr:row>26</xdr:row>
      <xdr:rowOff>1317</xdr:rowOff>
    </xdr:from>
    <xdr:to>
      <xdr:col>24</xdr:col>
      <xdr:colOff>419868</xdr:colOff>
      <xdr:row>33</xdr:row>
      <xdr:rowOff>109765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2483</xdr:colOff>
      <xdr:row>25</xdr:row>
      <xdr:rowOff>187700</xdr:rowOff>
    </xdr:from>
    <xdr:to>
      <xdr:col>29</xdr:col>
      <xdr:colOff>407369</xdr:colOff>
      <xdr:row>33</xdr:row>
      <xdr:rowOff>105648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22410</xdr:colOff>
      <xdr:row>34</xdr:row>
      <xdr:rowOff>122656</xdr:rowOff>
    </xdr:from>
    <xdr:to>
      <xdr:col>24</xdr:col>
      <xdr:colOff>427710</xdr:colOff>
      <xdr:row>42</xdr:row>
      <xdr:rowOff>38656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444359</xdr:colOff>
      <xdr:row>34</xdr:row>
      <xdr:rowOff>120292</xdr:rowOff>
    </xdr:from>
    <xdr:to>
      <xdr:col>29</xdr:col>
      <xdr:colOff>401570</xdr:colOff>
      <xdr:row>42</xdr:row>
      <xdr:rowOff>36292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22412</xdr:colOff>
      <xdr:row>43</xdr:row>
      <xdr:rowOff>59637</xdr:rowOff>
    </xdr:from>
    <xdr:to>
      <xdr:col>24</xdr:col>
      <xdr:colOff>427712</xdr:colOff>
      <xdr:row>50</xdr:row>
      <xdr:rowOff>171008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9111</xdr:colOff>
      <xdr:row>43</xdr:row>
      <xdr:rowOff>53814</xdr:rowOff>
    </xdr:from>
    <xdr:to>
      <xdr:col>29</xdr:col>
      <xdr:colOff>413997</xdr:colOff>
      <xdr:row>50</xdr:row>
      <xdr:rowOff>165185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4</xdr:row>
      <xdr:rowOff>72108</xdr:rowOff>
    </xdr:from>
    <xdr:to>
      <xdr:col>9</xdr:col>
      <xdr:colOff>366652</xdr:colOff>
      <xdr:row>16</xdr:row>
      <xdr:rowOff>2137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5</xdr:col>
      <xdr:colOff>55374</xdr:colOff>
      <xdr:row>31</xdr:row>
      <xdr:rowOff>139124</xdr:rowOff>
    </xdr:from>
    <xdr:to>
      <xdr:col>7</xdr:col>
      <xdr:colOff>171450</xdr:colOff>
      <xdr:row>34</xdr:row>
      <xdr:rowOff>103284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749" y="5777924"/>
          <a:ext cx="1011426" cy="535660"/>
        </a:xfrm>
        <a:prstGeom prst="rect">
          <a:avLst/>
        </a:prstGeom>
      </xdr:spPr>
    </xdr:pic>
    <xdr:clientData/>
  </xdr:twoCellAnchor>
  <xdr:twoCellAnchor editAs="oneCell">
    <xdr:from>
      <xdr:col>7</xdr:col>
      <xdr:colOff>192717</xdr:colOff>
      <xdr:row>31</xdr:row>
      <xdr:rowOff>130330</xdr:rowOff>
    </xdr:from>
    <xdr:to>
      <xdr:col>9</xdr:col>
      <xdr:colOff>372213</xdr:colOff>
      <xdr:row>34</xdr:row>
      <xdr:rowOff>114300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442" y="5769130"/>
          <a:ext cx="1074846" cy="555470"/>
        </a:xfrm>
        <a:prstGeom prst="rect">
          <a:avLst/>
        </a:prstGeom>
      </xdr:spPr>
    </xdr:pic>
    <xdr:clientData/>
  </xdr:twoCellAnchor>
  <xdr:twoCellAnchor>
    <xdr:from>
      <xdr:col>0</xdr:col>
      <xdr:colOff>11207</xdr:colOff>
      <xdr:row>27</xdr:row>
      <xdr:rowOff>134470</xdr:rowOff>
    </xdr:from>
    <xdr:to>
      <xdr:col>5</xdr:col>
      <xdr:colOff>9525</xdr:colOff>
      <xdr:row>34</xdr:row>
      <xdr:rowOff>85725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20</xdr:col>
      <xdr:colOff>25773</xdr:colOff>
      <xdr:row>16</xdr:row>
      <xdr:rowOff>33057</xdr:rowOff>
    </xdr:from>
    <xdr:to>
      <xdr:col>22</xdr:col>
      <xdr:colOff>261097</xdr:colOff>
      <xdr:row>16</xdr:row>
      <xdr:rowOff>177057</xdr:rowOff>
    </xdr:to>
    <xdr:sp macro="" textlink="">
      <xdr:nvSpPr>
        <xdr:cNvPr id="17" name="ZoneTexte 16"/>
        <xdr:cNvSpPr txBox="1"/>
      </xdr:nvSpPr>
      <xdr:spPr>
        <a:xfrm>
          <a:off x="8979273" y="2814357"/>
          <a:ext cx="1130674" cy="1440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OFI</a:t>
          </a:r>
        </a:p>
      </xdr:txBody>
    </xdr:sp>
    <xdr:clientData/>
  </xdr:twoCellAnchor>
  <xdr:twoCellAnchor>
    <xdr:from>
      <xdr:col>20</xdr:col>
      <xdr:colOff>5043</xdr:colOff>
      <xdr:row>42</xdr:row>
      <xdr:rowOff>79563</xdr:rowOff>
    </xdr:from>
    <xdr:to>
      <xdr:col>22</xdr:col>
      <xdr:colOff>240367</xdr:colOff>
      <xdr:row>43</xdr:row>
      <xdr:rowOff>33063</xdr:rowOff>
    </xdr:to>
    <xdr:sp macro="" textlink="">
      <xdr:nvSpPr>
        <xdr:cNvPr id="18" name="ZoneTexte 17"/>
        <xdr:cNvSpPr txBox="1"/>
      </xdr:nvSpPr>
      <xdr:spPr>
        <a:xfrm>
          <a:off x="8958543" y="7813863"/>
          <a:ext cx="1130674" cy="1440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GEOPARTS</a:t>
          </a:r>
        </a:p>
      </xdr:txBody>
    </xdr:sp>
    <xdr:clientData/>
  </xdr:twoCellAnchor>
  <xdr:twoCellAnchor>
    <xdr:from>
      <xdr:col>20</xdr:col>
      <xdr:colOff>17929</xdr:colOff>
      <xdr:row>33</xdr:row>
      <xdr:rowOff>143435</xdr:rowOff>
    </xdr:from>
    <xdr:to>
      <xdr:col>22</xdr:col>
      <xdr:colOff>253253</xdr:colOff>
      <xdr:row>34</xdr:row>
      <xdr:rowOff>96935</xdr:rowOff>
    </xdr:to>
    <xdr:sp macro="" textlink="">
      <xdr:nvSpPr>
        <xdr:cNvPr id="19" name="ZoneTexte 18"/>
        <xdr:cNvSpPr txBox="1"/>
      </xdr:nvSpPr>
      <xdr:spPr>
        <a:xfrm>
          <a:off x="8971429" y="6163235"/>
          <a:ext cx="1130674" cy="144000"/>
        </a:xfrm>
        <a:prstGeom prst="rect">
          <a:avLst/>
        </a:prstGeom>
        <a:solidFill>
          <a:srgbClr val="92D05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VFLI</a:t>
          </a:r>
        </a:p>
      </xdr:txBody>
    </xdr:sp>
    <xdr:clientData/>
  </xdr:twoCellAnchor>
  <xdr:twoCellAnchor>
    <xdr:from>
      <xdr:col>20</xdr:col>
      <xdr:colOff>26334</xdr:colOff>
      <xdr:row>25</xdr:row>
      <xdr:rowOff>16809</xdr:rowOff>
    </xdr:from>
    <xdr:to>
      <xdr:col>22</xdr:col>
      <xdr:colOff>261658</xdr:colOff>
      <xdr:row>25</xdr:row>
      <xdr:rowOff>160809</xdr:rowOff>
    </xdr:to>
    <xdr:sp macro="" textlink="">
      <xdr:nvSpPr>
        <xdr:cNvPr id="20" name="ZoneTexte 19"/>
        <xdr:cNvSpPr txBox="1"/>
      </xdr:nvSpPr>
      <xdr:spPr>
        <a:xfrm>
          <a:off x="8979834" y="4512609"/>
          <a:ext cx="1130674" cy="144000"/>
        </a:xfrm>
        <a:prstGeom prst="rect">
          <a:avLst/>
        </a:prstGeom>
        <a:solidFill>
          <a:srgbClr val="FCD268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FRET</a:t>
          </a:r>
        </a:p>
      </xdr:txBody>
    </xdr:sp>
    <xdr:clientData/>
  </xdr:twoCellAnchor>
  <xdr:twoCellAnchor>
    <xdr:from>
      <xdr:col>33</xdr:col>
      <xdr:colOff>158731</xdr:colOff>
      <xdr:row>12</xdr:row>
      <xdr:rowOff>116725</xdr:rowOff>
    </xdr:from>
    <xdr:to>
      <xdr:col>35</xdr:col>
      <xdr:colOff>394054</xdr:colOff>
      <xdr:row>13</xdr:row>
      <xdr:rowOff>70225</xdr:rowOff>
    </xdr:to>
    <xdr:sp macro="" textlink="">
      <xdr:nvSpPr>
        <xdr:cNvPr id="21" name="ZoneTexte 20"/>
        <xdr:cNvSpPr txBox="1"/>
      </xdr:nvSpPr>
      <xdr:spPr>
        <a:xfrm>
          <a:off x="14932006" y="2136025"/>
          <a:ext cx="1130673" cy="144000"/>
        </a:xfrm>
        <a:prstGeom prst="rect">
          <a:avLst/>
        </a:prstGeom>
        <a:solidFill>
          <a:schemeClr val="accent6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NORD OUEST</a:t>
          </a:r>
        </a:p>
      </xdr:txBody>
    </xdr:sp>
    <xdr:clientData/>
  </xdr:twoCellAnchor>
  <xdr:twoCellAnchor>
    <xdr:from>
      <xdr:col>32</xdr:col>
      <xdr:colOff>133909</xdr:colOff>
      <xdr:row>6</xdr:row>
      <xdr:rowOff>129794</xdr:rowOff>
    </xdr:from>
    <xdr:to>
      <xdr:col>34</xdr:col>
      <xdr:colOff>369232</xdr:colOff>
      <xdr:row>7</xdr:row>
      <xdr:rowOff>83294</xdr:rowOff>
    </xdr:to>
    <xdr:sp macro="" textlink="">
      <xdr:nvSpPr>
        <xdr:cNvPr id="22" name="ZoneTexte 21"/>
        <xdr:cNvSpPr txBox="1"/>
      </xdr:nvSpPr>
      <xdr:spPr>
        <a:xfrm>
          <a:off x="14459509" y="1006094"/>
          <a:ext cx="1130673" cy="144000"/>
        </a:xfrm>
        <a:prstGeom prst="rect">
          <a:avLst/>
        </a:prstGeom>
        <a:solidFill>
          <a:schemeClr val="accent3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NORD EST</a:t>
          </a:r>
        </a:p>
      </xdr:txBody>
    </xdr:sp>
    <xdr:clientData/>
  </xdr:twoCellAnchor>
  <xdr:twoCellAnchor>
    <xdr:from>
      <xdr:col>30</xdr:col>
      <xdr:colOff>390525</xdr:colOff>
      <xdr:row>9</xdr:row>
      <xdr:rowOff>24091</xdr:rowOff>
    </xdr:from>
    <xdr:to>
      <xdr:col>33</xdr:col>
      <xdr:colOff>178173</xdr:colOff>
      <xdr:row>9</xdr:row>
      <xdr:rowOff>168091</xdr:rowOff>
    </xdr:to>
    <xdr:sp macro="" textlink="">
      <xdr:nvSpPr>
        <xdr:cNvPr id="23" name="ZoneTexte 22"/>
        <xdr:cNvSpPr txBox="1"/>
      </xdr:nvSpPr>
      <xdr:spPr>
        <a:xfrm>
          <a:off x="13820775" y="1471891"/>
          <a:ext cx="1130673" cy="144000"/>
        </a:xfrm>
        <a:prstGeom prst="rect">
          <a:avLst/>
        </a:prstGeom>
        <a:solidFill>
          <a:schemeClr val="accent5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SUD</a:t>
          </a:r>
        </a:p>
      </xdr:txBody>
    </xdr:sp>
    <xdr:clientData/>
  </xdr:twoCellAnchor>
  <xdr:twoCellAnchor>
    <xdr:from>
      <xdr:col>21</xdr:col>
      <xdr:colOff>361950</xdr:colOff>
      <xdr:row>11</xdr:row>
      <xdr:rowOff>161925</xdr:rowOff>
    </xdr:from>
    <xdr:to>
      <xdr:col>28</xdr:col>
      <xdr:colOff>180975</xdr:colOff>
      <xdr:row>12</xdr:row>
      <xdr:rowOff>161925</xdr:rowOff>
    </xdr:to>
    <xdr:sp macro="" textlink="">
      <xdr:nvSpPr>
        <xdr:cNvPr id="28" name="ZoneTexte 27"/>
        <xdr:cNvSpPr txBox="1"/>
      </xdr:nvSpPr>
      <xdr:spPr>
        <a:xfrm>
          <a:off x="9763125" y="1990725"/>
          <a:ext cx="2952750" cy="190500"/>
        </a:xfrm>
        <a:prstGeom prst="rect">
          <a:avLst/>
        </a:prstGeom>
        <a:solidFill>
          <a:schemeClr val="lt1"/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VOLUME</a:t>
          </a:r>
          <a:r>
            <a:rPr lang="fr-FR" sz="1100" b="1" baseline="0"/>
            <a:t> PAR BASSINS</a:t>
          </a:r>
          <a:endParaRPr lang="fr-FR" sz="1100" b="1"/>
        </a:p>
      </xdr:txBody>
    </xdr:sp>
    <xdr:clientData/>
  </xdr:twoCellAnchor>
  <xdr:twoCellAnchor>
    <xdr:from>
      <xdr:col>31</xdr:col>
      <xdr:colOff>0</xdr:colOff>
      <xdr:row>17</xdr:row>
      <xdr:rowOff>0</xdr:rowOff>
    </xdr:from>
    <xdr:to>
      <xdr:col>35</xdr:col>
      <xdr:colOff>28575</xdr:colOff>
      <xdr:row>18</xdr:row>
      <xdr:rowOff>0</xdr:rowOff>
    </xdr:to>
    <xdr:sp macro="" textlink="">
      <xdr:nvSpPr>
        <xdr:cNvPr id="29" name="ZoneTexte 28"/>
        <xdr:cNvSpPr txBox="1"/>
      </xdr:nvSpPr>
      <xdr:spPr>
        <a:xfrm>
          <a:off x="13877925" y="2971800"/>
          <a:ext cx="18192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BUDGET - REEL</a:t>
          </a:r>
        </a:p>
      </xdr:txBody>
    </xdr:sp>
    <xdr:clientData/>
  </xdr:twoCellAnchor>
  <xdr:twoCellAnchor>
    <xdr:from>
      <xdr:col>21</xdr:col>
      <xdr:colOff>304800</xdr:colOff>
      <xdr:row>14</xdr:row>
      <xdr:rowOff>180975</xdr:rowOff>
    </xdr:from>
    <xdr:to>
      <xdr:col>28</xdr:col>
      <xdr:colOff>123825</xdr:colOff>
      <xdr:row>15</xdr:row>
      <xdr:rowOff>180975</xdr:rowOff>
    </xdr:to>
    <xdr:sp macro="" textlink="">
      <xdr:nvSpPr>
        <xdr:cNvPr id="30" name="ZoneTexte 29"/>
        <xdr:cNvSpPr txBox="1"/>
      </xdr:nvSpPr>
      <xdr:spPr>
        <a:xfrm>
          <a:off x="9705975" y="2581275"/>
          <a:ext cx="2952750" cy="190500"/>
        </a:xfrm>
        <a:prstGeom prst="rect">
          <a:avLst/>
        </a:prstGeom>
        <a:solidFill>
          <a:schemeClr val="lt1"/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BUDGET - REEL PAR TRANSPORTEUR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108856</xdr:colOff>
      <xdr:row>26</xdr:row>
      <xdr:rowOff>81643</xdr:rowOff>
    </xdr:from>
    <xdr:to>
      <xdr:col>34</xdr:col>
      <xdr:colOff>30415</xdr:colOff>
      <xdr:row>48</xdr:row>
      <xdr:rowOff>35700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35378</xdr:rowOff>
    </xdr:from>
    <xdr:to>
      <xdr:col>16</xdr:col>
      <xdr:colOff>683559</xdr:colOff>
      <xdr:row>25</xdr:row>
      <xdr:rowOff>164378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25852</xdr:rowOff>
    </xdr:from>
    <xdr:to>
      <xdr:col>16</xdr:col>
      <xdr:colOff>683559</xdr:colOff>
      <xdr:row>48</xdr:row>
      <xdr:rowOff>154852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58511</xdr:colOff>
      <xdr:row>3</xdr:row>
      <xdr:rowOff>72117</xdr:rowOff>
    </xdr:from>
    <xdr:to>
      <xdr:col>33</xdr:col>
      <xdr:colOff>742070</xdr:colOff>
      <xdr:row>25</xdr:row>
      <xdr:rowOff>26174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308162</xdr:colOff>
      <xdr:row>3</xdr:row>
      <xdr:rowOff>169209</xdr:rowOff>
    </xdr:from>
    <xdr:to>
      <xdr:col>14</xdr:col>
      <xdr:colOff>397809</xdr:colOff>
      <xdr:row>18</xdr:row>
      <xdr:rowOff>54909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72838</xdr:colOff>
      <xdr:row>3</xdr:row>
      <xdr:rowOff>169208</xdr:rowOff>
    </xdr:from>
    <xdr:to>
      <xdr:col>25</xdr:col>
      <xdr:colOff>162485</xdr:colOff>
      <xdr:row>18</xdr:row>
      <xdr:rowOff>54908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296955</xdr:colOff>
      <xdr:row>3</xdr:row>
      <xdr:rowOff>158002</xdr:rowOff>
    </xdr:from>
    <xdr:to>
      <xdr:col>35</xdr:col>
      <xdr:colOff>386602</xdr:colOff>
      <xdr:row>18</xdr:row>
      <xdr:rowOff>43702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41</xdr:col>
      <xdr:colOff>199179</xdr:colOff>
      <xdr:row>59</xdr:row>
      <xdr:rowOff>31698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13607</xdr:colOff>
      <xdr:row>61</xdr:row>
      <xdr:rowOff>122465</xdr:rowOff>
    </xdr:from>
    <xdr:to>
      <xdr:col>47</xdr:col>
      <xdr:colOff>732385</xdr:colOff>
      <xdr:row>99</xdr:row>
      <xdr:rowOff>99334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16</xdr:col>
      <xdr:colOff>770400</xdr:colOff>
      <xdr:row>25</xdr:row>
      <xdr:rowOff>175650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38100</xdr:rowOff>
    </xdr:from>
    <xdr:to>
      <xdr:col>16</xdr:col>
      <xdr:colOff>770400</xdr:colOff>
      <xdr:row>49</xdr:row>
      <xdr:rowOff>156600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381000</xdr:colOff>
      <xdr:row>51</xdr:row>
      <xdr:rowOff>104775</xdr:rowOff>
    </xdr:from>
    <xdr:to>
      <xdr:col>10</xdr:col>
      <xdr:colOff>609601</xdr:colOff>
      <xdr:row>73</xdr:row>
      <xdr:rowOff>180975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66674</xdr:rowOff>
    </xdr:from>
    <xdr:to>
      <xdr:col>12</xdr:col>
      <xdr:colOff>400049</xdr:colOff>
      <xdr:row>24</xdr:row>
      <xdr:rowOff>19049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24</xdr:row>
      <xdr:rowOff>142875</xdr:rowOff>
    </xdr:from>
    <xdr:to>
      <xdr:col>12</xdr:col>
      <xdr:colOff>438149</xdr:colOff>
      <xdr:row>46</xdr:row>
      <xdr:rowOff>95250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46</xdr:row>
      <xdr:rowOff>180975</xdr:rowOff>
    </xdr:from>
    <xdr:to>
      <xdr:col>12</xdr:col>
      <xdr:colOff>447674</xdr:colOff>
      <xdr:row>68</xdr:row>
      <xdr:rowOff>133350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180975</xdr:colOff>
      <xdr:row>69</xdr:row>
      <xdr:rowOff>57150</xdr:rowOff>
    </xdr:from>
    <xdr:to>
      <xdr:col>12</xdr:col>
      <xdr:colOff>438149</xdr:colOff>
      <xdr:row>91</xdr:row>
      <xdr:rowOff>9525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523875</xdr:colOff>
      <xdr:row>2</xdr:row>
      <xdr:rowOff>95250</xdr:rowOff>
    </xdr:from>
    <xdr:to>
      <xdr:col>25</xdr:col>
      <xdr:colOff>19049</xdr:colOff>
      <xdr:row>24</xdr:row>
      <xdr:rowOff>47625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52987</xdr:colOff>
      <xdr:row>32</xdr:row>
      <xdr:rowOff>61634</xdr:rowOff>
    </xdr:from>
    <xdr:to>
      <xdr:col>38</xdr:col>
      <xdr:colOff>493059</xdr:colOff>
      <xdr:row>68</xdr:row>
      <xdr:rowOff>60833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161925</xdr:rowOff>
    </xdr:from>
    <xdr:to>
      <xdr:col>22</xdr:col>
      <xdr:colOff>729824</xdr:colOff>
      <xdr:row>35</xdr:row>
      <xdr:rowOff>47625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100853</xdr:colOff>
      <xdr:row>38</xdr:row>
      <xdr:rowOff>22412</xdr:rowOff>
    </xdr:from>
    <xdr:to>
      <xdr:col>22</xdr:col>
      <xdr:colOff>716377</xdr:colOff>
      <xdr:row>69</xdr:row>
      <xdr:rowOff>98612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112058</xdr:colOff>
      <xdr:row>70</xdr:row>
      <xdr:rowOff>56030</xdr:rowOff>
    </xdr:from>
    <xdr:to>
      <xdr:col>11</xdr:col>
      <xdr:colOff>730058</xdr:colOff>
      <xdr:row>99</xdr:row>
      <xdr:rowOff>111530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76200</xdr:rowOff>
    </xdr:from>
    <xdr:to>
      <xdr:col>22</xdr:col>
      <xdr:colOff>710774</xdr:colOff>
      <xdr:row>35</xdr:row>
      <xdr:rowOff>152400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100853</xdr:colOff>
      <xdr:row>37</xdr:row>
      <xdr:rowOff>0</xdr:rowOff>
    </xdr:from>
    <xdr:to>
      <xdr:col>22</xdr:col>
      <xdr:colOff>716377</xdr:colOff>
      <xdr:row>68</xdr:row>
      <xdr:rowOff>76200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100851</xdr:colOff>
      <xdr:row>69</xdr:row>
      <xdr:rowOff>67235</xdr:rowOff>
    </xdr:from>
    <xdr:to>
      <xdr:col>11</xdr:col>
      <xdr:colOff>718851</xdr:colOff>
      <xdr:row>97</xdr:row>
      <xdr:rowOff>133235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95250</xdr:rowOff>
    </xdr:from>
    <xdr:to>
      <xdr:col>22</xdr:col>
      <xdr:colOff>701249</xdr:colOff>
      <xdr:row>35</xdr:row>
      <xdr:rowOff>171450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89647</xdr:colOff>
      <xdr:row>36</xdr:row>
      <xdr:rowOff>156883</xdr:rowOff>
    </xdr:from>
    <xdr:to>
      <xdr:col>22</xdr:col>
      <xdr:colOff>705171</xdr:colOff>
      <xdr:row>68</xdr:row>
      <xdr:rowOff>42583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89645</xdr:colOff>
      <xdr:row>69</xdr:row>
      <xdr:rowOff>22412</xdr:rowOff>
    </xdr:from>
    <xdr:to>
      <xdr:col>11</xdr:col>
      <xdr:colOff>707645</xdr:colOff>
      <xdr:row>97</xdr:row>
      <xdr:rowOff>88412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28015</xdr:colOff>
      <xdr:row>4</xdr:row>
      <xdr:rowOff>34179</xdr:rowOff>
    </xdr:from>
    <xdr:to>
      <xdr:col>19</xdr:col>
      <xdr:colOff>78441</xdr:colOff>
      <xdr:row>35</xdr:row>
      <xdr:rowOff>119903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168089</xdr:colOff>
      <xdr:row>4</xdr:row>
      <xdr:rowOff>22412</xdr:rowOff>
    </xdr:from>
    <xdr:to>
      <xdr:col>23</xdr:col>
      <xdr:colOff>730063</xdr:colOff>
      <xdr:row>35</xdr:row>
      <xdr:rowOff>98612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33618</xdr:colOff>
      <xdr:row>36</xdr:row>
      <xdr:rowOff>0</xdr:rowOff>
    </xdr:from>
    <xdr:to>
      <xdr:col>19</xdr:col>
      <xdr:colOff>68035</xdr:colOff>
      <xdr:row>67</xdr:row>
      <xdr:rowOff>85724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4</xdr:row>
      <xdr:rowOff>22412</xdr:rowOff>
    </xdr:from>
    <xdr:to>
      <xdr:col>19</xdr:col>
      <xdr:colOff>134470</xdr:colOff>
      <xdr:row>35</xdr:row>
      <xdr:rowOff>108136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201706</xdr:colOff>
      <xdr:row>4</xdr:row>
      <xdr:rowOff>22412</xdr:rowOff>
    </xdr:from>
    <xdr:to>
      <xdr:col>23</xdr:col>
      <xdr:colOff>733144</xdr:colOff>
      <xdr:row>35</xdr:row>
      <xdr:rowOff>119255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33618</xdr:colOff>
      <xdr:row>36</xdr:row>
      <xdr:rowOff>0</xdr:rowOff>
    </xdr:from>
    <xdr:to>
      <xdr:col>19</xdr:col>
      <xdr:colOff>156883</xdr:colOff>
      <xdr:row>67</xdr:row>
      <xdr:rowOff>85724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4</xdr:row>
      <xdr:rowOff>56030</xdr:rowOff>
    </xdr:from>
    <xdr:to>
      <xdr:col>19</xdr:col>
      <xdr:colOff>168088</xdr:colOff>
      <xdr:row>35</xdr:row>
      <xdr:rowOff>141754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235324</xdr:colOff>
      <xdr:row>4</xdr:row>
      <xdr:rowOff>44823</xdr:rowOff>
    </xdr:from>
    <xdr:to>
      <xdr:col>23</xdr:col>
      <xdr:colOff>748993</xdr:colOff>
      <xdr:row>35</xdr:row>
      <xdr:rowOff>107416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56030</xdr:colOff>
      <xdr:row>36</xdr:row>
      <xdr:rowOff>33617</xdr:rowOff>
    </xdr:from>
    <xdr:to>
      <xdr:col>19</xdr:col>
      <xdr:colOff>179295</xdr:colOff>
      <xdr:row>67</xdr:row>
      <xdr:rowOff>119341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4</xdr:row>
      <xdr:rowOff>44823</xdr:rowOff>
    </xdr:from>
    <xdr:to>
      <xdr:col>19</xdr:col>
      <xdr:colOff>112059</xdr:colOff>
      <xdr:row>35</xdr:row>
      <xdr:rowOff>130547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168089</xdr:colOff>
      <xdr:row>4</xdr:row>
      <xdr:rowOff>44823</xdr:rowOff>
    </xdr:from>
    <xdr:to>
      <xdr:col>23</xdr:col>
      <xdr:colOff>734827</xdr:colOff>
      <xdr:row>35</xdr:row>
      <xdr:rowOff>87686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44824</xdr:colOff>
      <xdr:row>35</xdr:row>
      <xdr:rowOff>179294</xdr:rowOff>
    </xdr:from>
    <xdr:to>
      <xdr:col>19</xdr:col>
      <xdr:colOff>123265</xdr:colOff>
      <xdr:row>67</xdr:row>
      <xdr:rowOff>74518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4</xdr:row>
      <xdr:rowOff>67234</xdr:rowOff>
    </xdr:from>
    <xdr:to>
      <xdr:col>19</xdr:col>
      <xdr:colOff>168088</xdr:colOff>
      <xdr:row>35</xdr:row>
      <xdr:rowOff>152958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235323</xdr:colOff>
      <xdr:row>4</xdr:row>
      <xdr:rowOff>44824</xdr:rowOff>
    </xdr:from>
    <xdr:to>
      <xdr:col>24</xdr:col>
      <xdr:colOff>6723</xdr:colOff>
      <xdr:row>35</xdr:row>
      <xdr:rowOff>118302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56029</xdr:colOff>
      <xdr:row>36</xdr:row>
      <xdr:rowOff>33617</xdr:rowOff>
    </xdr:from>
    <xdr:to>
      <xdr:col>19</xdr:col>
      <xdr:colOff>179294</xdr:colOff>
      <xdr:row>67</xdr:row>
      <xdr:rowOff>119341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4</xdr:row>
      <xdr:rowOff>33617</xdr:rowOff>
    </xdr:from>
    <xdr:to>
      <xdr:col>19</xdr:col>
      <xdr:colOff>179294</xdr:colOff>
      <xdr:row>35</xdr:row>
      <xdr:rowOff>119341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212911</xdr:colOff>
      <xdr:row>4</xdr:row>
      <xdr:rowOff>33618</xdr:rowOff>
    </xdr:from>
    <xdr:to>
      <xdr:col>23</xdr:col>
      <xdr:colOff>759919</xdr:colOff>
      <xdr:row>35</xdr:row>
      <xdr:rowOff>88047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56030</xdr:colOff>
      <xdr:row>36</xdr:row>
      <xdr:rowOff>11206</xdr:rowOff>
    </xdr:from>
    <xdr:to>
      <xdr:col>19</xdr:col>
      <xdr:colOff>179295</xdr:colOff>
      <xdr:row>67</xdr:row>
      <xdr:rowOff>96930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33227</xdr:colOff>
      <xdr:row>4</xdr:row>
      <xdr:rowOff>44302</xdr:rowOff>
    </xdr:from>
    <xdr:to>
      <xdr:col>19</xdr:col>
      <xdr:colOff>181428</xdr:colOff>
      <xdr:row>35</xdr:row>
      <xdr:rowOff>130026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215447</xdr:colOff>
      <xdr:row>4</xdr:row>
      <xdr:rowOff>21886</xdr:rowOff>
    </xdr:from>
    <xdr:to>
      <xdr:col>23</xdr:col>
      <xdr:colOff>739986</xdr:colOff>
      <xdr:row>35</xdr:row>
      <xdr:rowOff>173198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45357</xdr:colOff>
      <xdr:row>36</xdr:row>
      <xdr:rowOff>34017</xdr:rowOff>
    </xdr:from>
    <xdr:to>
      <xdr:col>19</xdr:col>
      <xdr:colOff>211711</xdr:colOff>
      <xdr:row>67</xdr:row>
      <xdr:rowOff>49438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4</xdr:row>
      <xdr:rowOff>22412</xdr:rowOff>
    </xdr:from>
    <xdr:to>
      <xdr:col>19</xdr:col>
      <xdr:colOff>168088</xdr:colOff>
      <xdr:row>35</xdr:row>
      <xdr:rowOff>108136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201706</xdr:colOff>
      <xdr:row>4</xdr:row>
      <xdr:rowOff>33618</xdr:rowOff>
    </xdr:from>
    <xdr:to>
      <xdr:col>23</xdr:col>
      <xdr:colOff>752913</xdr:colOff>
      <xdr:row>35</xdr:row>
      <xdr:rowOff>91597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44823</xdr:colOff>
      <xdr:row>36</xdr:row>
      <xdr:rowOff>0</xdr:rowOff>
    </xdr:from>
    <xdr:to>
      <xdr:col>19</xdr:col>
      <xdr:colOff>168088</xdr:colOff>
      <xdr:row>67</xdr:row>
      <xdr:rowOff>85724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4</xdr:row>
      <xdr:rowOff>33618</xdr:rowOff>
    </xdr:from>
    <xdr:to>
      <xdr:col>19</xdr:col>
      <xdr:colOff>168088</xdr:colOff>
      <xdr:row>35</xdr:row>
      <xdr:rowOff>119342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201705</xdr:colOff>
      <xdr:row>4</xdr:row>
      <xdr:rowOff>33617</xdr:rowOff>
    </xdr:from>
    <xdr:to>
      <xdr:col>23</xdr:col>
      <xdr:colOff>750233</xdr:colOff>
      <xdr:row>35</xdr:row>
      <xdr:rowOff>85163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56030</xdr:colOff>
      <xdr:row>36</xdr:row>
      <xdr:rowOff>11206</xdr:rowOff>
    </xdr:from>
    <xdr:to>
      <xdr:col>19</xdr:col>
      <xdr:colOff>179295</xdr:colOff>
      <xdr:row>67</xdr:row>
      <xdr:rowOff>96930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44303</xdr:colOff>
      <xdr:row>4</xdr:row>
      <xdr:rowOff>44301</xdr:rowOff>
    </xdr:from>
    <xdr:to>
      <xdr:col>19</xdr:col>
      <xdr:colOff>124732</xdr:colOff>
      <xdr:row>35</xdr:row>
      <xdr:rowOff>130025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211492</xdr:colOff>
      <xdr:row>4</xdr:row>
      <xdr:rowOff>31117</xdr:rowOff>
    </xdr:from>
    <xdr:to>
      <xdr:col>23</xdr:col>
      <xdr:colOff>750804</xdr:colOff>
      <xdr:row>35</xdr:row>
      <xdr:rowOff>151066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55377</xdr:colOff>
      <xdr:row>36</xdr:row>
      <xdr:rowOff>0</xdr:rowOff>
    </xdr:from>
    <xdr:to>
      <xdr:col>19</xdr:col>
      <xdr:colOff>136555</xdr:colOff>
      <xdr:row>67</xdr:row>
      <xdr:rowOff>154393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41696</xdr:colOff>
      <xdr:row>4</xdr:row>
      <xdr:rowOff>44172</xdr:rowOff>
    </xdr:from>
    <xdr:to>
      <xdr:col>19</xdr:col>
      <xdr:colOff>168088</xdr:colOff>
      <xdr:row>35</xdr:row>
      <xdr:rowOff>129895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208091</xdr:colOff>
      <xdr:row>4</xdr:row>
      <xdr:rowOff>42607</xdr:rowOff>
    </xdr:from>
    <xdr:to>
      <xdr:col>23</xdr:col>
      <xdr:colOff>737139</xdr:colOff>
      <xdr:row>35</xdr:row>
      <xdr:rowOff>171760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44822</xdr:colOff>
      <xdr:row>36</xdr:row>
      <xdr:rowOff>0</xdr:rowOff>
    </xdr:from>
    <xdr:to>
      <xdr:col>19</xdr:col>
      <xdr:colOff>179293</xdr:colOff>
      <xdr:row>67</xdr:row>
      <xdr:rowOff>154393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4</xdr:row>
      <xdr:rowOff>44823</xdr:rowOff>
    </xdr:from>
    <xdr:to>
      <xdr:col>19</xdr:col>
      <xdr:colOff>134471</xdr:colOff>
      <xdr:row>35</xdr:row>
      <xdr:rowOff>130547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201705</xdr:colOff>
      <xdr:row>4</xdr:row>
      <xdr:rowOff>56028</xdr:rowOff>
    </xdr:from>
    <xdr:to>
      <xdr:col>24</xdr:col>
      <xdr:colOff>1680</xdr:colOff>
      <xdr:row>35</xdr:row>
      <xdr:rowOff>122703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67235</xdr:colOff>
      <xdr:row>36</xdr:row>
      <xdr:rowOff>0</xdr:rowOff>
    </xdr:from>
    <xdr:to>
      <xdr:col>19</xdr:col>
      <xdr:colOff>156882</xdr:colOff>
      <xdr:row>67</xdr:row>
      <xdr:rowOff>85724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4</xdr:row>
      <xdr:rowOff>33617</xdr:rowOff>
    </xdr:from>
    <xdr:to>
      <xdr:col>19</xdr:col>
      <xdr:colOff>134471</xdr:colOff>
      <xdr:row>35</xdr:row>
      <xdr:rowOff>119341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190501</xdr:colOff>
      <xdr:row>4</xdr:row>
      <xdr:rowOff>56029</xdr:rowOff>
    </xdr:from>
    <xdr:to>
      <xdr:col>23</xdr:col>
      <xdr:colOff>752476</xdr:colOff>
      <xdr:row>35</xdr:row>
      <xdr:rowOff>117942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44824</xdr:colOff>
      <xdr:row>35</xdr:row>
      <xdr:rowOff>168088</xdr:rowOff>
    </xdr:from>
    <xdr:to>
      <xdr:col>19</xdr:col>
      <xdr:colOff>134471</xdr:colOff>
      <xdr:row>67</xdr:row>
      <xdr:rowOff>63312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4</xdr:row>
      <xdr:rowOff>33617</xdr:rowOff>
    </xdr:from>
    <xdr:to>
      <xdr:col>19</xdr:col>
      <xdr:colOff>123265</xdr:colOff>
      <xdr:row>35</xdr:row>
      <xdr:rowOff>119341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168090</xdr:colOff>
      <xdr:row>4</xdr:row>
      <xdr:rowOff>33619</xdr:rowOff>
    </xdr:from>
    <xdr:to>
      <xdr:col>23</xdr:col>
      <xdr:colOff>737858</xdr:colOff>
      <xdr:row>35</xdr:row>
      <xdr:rowOff>81244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44824</xdr:colOff>
      <xdr:row>35</xdr:row>
      <xdr:rowOff>179294</xdr:rowOff>
    </xdr:from>
    <xdr:to>
      <xdr:col>19</xdr:col>
      <xdr:colOff>112059</xdr:colOff>
      <xdr:row>67</xdr:row>
      <xdr:rowOff>74518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4</xdr:row>
      <xdr:rowOff>44823</xdr:rowOff>
    </xdr:from>
    <xdr:to>
      <xdr:col>19</xdr:col>
      <xdr:colOff>123265</xdr:colOff>
      <xdr:row>35</xdr:row>
      <xdr:rowOff>130547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179294</xdr:colOff>
      <xdr:row>4</xdr:row>
      <xdr:rowOff>44823</xdr:rowOff>
    </xdr:from>
    <xdr:to>
      <xdr:col>23</xdr:col>
      <xdr:colOff>738188</xdr:colOff>
      <xdr:row>35</xdr:row>
      <xdr:rowOff>102533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56030</xdr:colOff>
      <xdr:row>36</xdr:row>
      <xdr:rowOff>0</xdr:rowOff>
    </xdr:from>
    <xdr:to>
      <xdr:col>19</xdr:col>
      <xdr:colOff>134472</xdr:colOff>
      <xdr:row>67</xdr:row>
      <xdr:rowOff>85724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44301</xdr:colOff>
      <xdr:row>4</xdr:row>
      <xdr:rowOff>44301</xdr:rowOff>
    </xdr:from>
    <xdr:to>
      <xdr:col>19</xdr:col>
      <xdr:colOff>155057</xdr:colOff>
      <xdr:row>35</xdr:row>
      <xdr:rowOff>130025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210435</xdr:colOff>
      <xdr:row>4</xdr:row>
      <xdr:rowOff>44303</xdr:rowOff>
    </xdr:from>
    <xdr:to>
      <xdr:col>23</xdr:col>
      <xdr:colOff>759467</xdr:colOff>
      <xdr:row>35</xdr:row>
      <xdr:rowOff>161958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44302</xdr:colOff>
      <xdr:row>36</xdr:row>
      <xdr:rowOff>11077</xdr:rowOff>
    </xdr:from>
    <xdr:to>
      <xdr:col>19</xdr:col>
      <xdr:colOff>125480</xdr:colOff>
      <xdr:row>67</xdr:row>
      <xdr:rowOff>165470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_TRANSPORTS/Pilotage/06%20Suivi%20des%20prestataires%20de%20transport%20ROUTE/2015/Activit&#233;%20Transports%20%20autres%20sites%20&#233;cart&#233;%20par%20route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_Transports/Pilotage/000%20CDG%20InfraTransport/Indicateurs%20mensuels/1%20indicateur%20Transport/2014/01%202014/Valorisation%20bar&#232;me%20RFF%20-%2001%202014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_TRANSPORTS/Pilotage/000%20CDG%20InfraTransport/BUDGET/3+9%202015/InfraTransport%20-%20PTG%203+9%20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uns/INFRA_TRANSPORTS/Pilotage/08%20Synth&#232;se%20OTI%20par%20fournisseur/2016/Suivi%20des%20op&#233;rateurs%20transports%20-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teurs%20BALLAST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2015"/>
      <sheetName val="GEOPARTS Lot 1 "/>
      <sheetName val="GEOPARTS Lot 2"/>
      <sheetName val="GEOPARTS Lot 3 "/>
      <sheetName val="GEOPARTS Lot 4"/>
      <sheetName val="GEOPARTS Lot 5"/>
      <sheetName val="GEOPARTS Ballast"/>
      <sheetName val="Récap par site"/>
    </sheetNames>
    <sheetDataSet>
      <sheetData sheetId="0"/>
      <sheetData sheetId="1">
        <row r="117">
          <cell r="C117">
            <v>4694</v>
          </cell>
          <cell r="D117">
            <v>4576</v>
          </cell>
          <cell r="E117">
            <v>4975</v>
          </cell>
          <cell r="F117">
            <v>5111</v>
          </cell>
          <cell r="G117">
            <v>3733</v>
          </cell>
          <cell r="H117">
            <v>5651</v>
          </cell>
          <cell r="I117">
            <v>4420</v>
          </cell>
          <cell r="J117">
            <v>3921</v>
          </cell>
          <cell r="K117">
            <v>4596</v>
          </cell>
          <cell r="L117">
            <v>4538</v>
          </cell>
          <cell r="M117">
            <v>4154</v>
          </cell>
          <cell r="N117">
            <v>3906</v>
          </cell>
        </row>
        <row r="118">
          <cell r="C118">
            <v>439</v>
          </cell>
          <cell r="D118">
            <v>472</v>
          </cell>
          <cell r="E118">
            <v>503</v>
          </cell>
          <cell r="F118">
            <v>511</v>
          </cell>
          <cell r="G118">
            <v>386</v>
          </cell>
          <cell r="H118">
            <v>581</v>
          </cell>
          <cell r="I118">
            <v>389</v>
          </cell>
          <cell r="J118">
            <v>375</v>
          </cell>
          <cell r="K118">
            <v>394</v>
          </cell>
          <cell r="L118">
            <v>378</v>
          </cell>
          <cell r="M118">
            <v>368</v>
          </cell>
          <cell r="N118">
            <v>347</v>
          </cell>
        </row>
        <row r="121">
          <cell r="C121">
            <v>155358.29369999998</v>
          </cell>
          <cell r="D121">
            <v>165777.46799999999</v>
          </cell>
          <cell r="E121">
            <v>182217.9344</v>
          </cell>
          <cell r="F121">
            <v>185209.10030000005</v>
          </cell>
          <cell r="G121">
            <v>143504.49660000001</v>
          </cell>
          <cell r="H121">
            <v>207608.57920000001</v>
          </cell>
          <cell r="I121">
            <v>141618.42310000004</v>
          </cell>
          <cell r="J121">
            <v>129693.16149999997</v>
          </cell>
          <cell r="K121">
            <v>149251.73120000001</v>
          </cell>
          <cell r="L121">
            <v>139809.09599999996</v>
          </cell>
          <cell r="M121">
            <v>130817.62179999999</v>
          </cell>
          <cell r="N121">
            <v>124766.45049999999</v>
          </cell>
        </row>
      </sheetData>
      <sheetData sheetId="2">
        <row r="117">
          <cell r="C117">
            <v>282</v>
          </cell>
          <cell r="D117">
            <v>284</v>
          </cell>
          <cell r="E117">
            <v>325</v>
          </cell>
          <cell r="F117">
            <v>311</v>
          </cell>
          <cell r="G117">
            <v>250</v>
          </cell>
          <cell r="H117">
            <v>237</v>
          </cell>
          <cell r="I117">
            <v>245</v>
          </cell>
          <cell r="J117">
            <v>232</v>
          </cell>
          <cell r="K117">
            <v>288</v>
          </cell>
          <cell r="L117">
            <v>280</v>
          </cell>
          <cell r="M117">
            <v>271</v>
          </cell>
          <cell r="N117">
            <v>173</v>
          </cell>
        </row>
        <row r="118">
          <cell r="C118">
            <v>1159</v>
          </cell>
          <cell r="D118">
            <v>1258</v>
          </cell>
          <cell r="E118">
            <v>1403</v>
          </cell>
          <cell r="F118">
            <v>1095</v>
          </cell>
          <cell r="G118">
            <v>1009</v>
          </cell>
          <cell r="H118">
            <v>1161</v>
          </cell>
          <cell r="I118">
            <v>967</v>
          </cell>
          <cell r="J118">
            <v>903</v>
          </cell>
          <cell r="K118">
            <v>1130</v>
          </cell>
          <cell r="L118">
            <v>1061</v>
          </cell>
          <cell r="M118">
            <v>979</v>
          </cell>
          <cell r="N118">
            <v>645</v>
          </cell>
        </row>
        <row r="121">
          <cell r="C121">
            <v>121140.88800000001</v>
          </cell>
          <cell r="D121">
            <v>123876.2086</v>
          </cell>
          <cell r="E121">
            <v>152217.99</v>
          </cell>
          <cell r="F121">
            <v>127403.6012</v>
          </cell>
          <cell r="G121">
            <v>106139.11440000001</v>
          </cell>
          <cell r="H121">
            <v>116810.4075</v>
          </cell>
          <cell r="I121">
            <v>94611.757500000007</v>
          </cell>
          <cell r="J121">
            <v>88738.977599999998</v>
          </cell>
          <cell r="K121">
            <v>116449.7936</v>
          </cell>
          <cell r="L121">
            <v>111024.45299999999</v>
          </cell>
          <cell r="M121">
            <v>109660.5594</v>
          </cell>
          <cell r="N121">
            <v>72284.966</v>
          </cell>
        </row>
      </sheetData>
      <sheetData sheetId="3">
        <row r="117">
          <cell r="C117">
            <v>191</v>
          </cell>
          <cell r="D117">
            <v>196</v>
          </cell>
          <cell r="E117">
            <v>271</v>
          </cell>
          <cell r="F117">
            <v>278</v>
          </cell>
          <cell r="G117">
            <v>274</v>
          </cell>
          <cell r="H117">
            <v>278</v>
          </cell>
          <cell r="I117">
            <v>204</v>
          </cell>
          <cell r="J117">
            <v>302</v>
          </cell>
          <cell r="K117">
            <v>254</v>
          </cell>
          <cell r="L117">
            <v>251</v>
          </cell>
          <cell r="M117">
            <v>222</v>
          </cell>
          <cell r="N117">
            <v>164</v>
          </cell>
        </row>
        <row r="118">
          <cell r="C118">
            <v>2288</v>
          </cell>
          <cell r="D118">
            <v>3204</v>
          </cell>
          <cell r="E118">
            <v>3480</v>
          </cell>
          <cell r="F118">
            <v>2641</v>
          </cell>
          <cell r="G118">
            <v>2710</v>
          </cell>
          <cell r="H118">
            <v>3059</v>
          </cell>
          <cell r="I118">
            <v>1948</v>
          </cell>
          <cell r="J118">
            <v>3841</v>
          </cell>
          <cell r="K118">
            <v>3094</v>
          </cell>
          <cell r="L118">
            <v>2402</v>
          </cell>
          <cell r="M118">
            <v>2726</v>
          </cell>
          <cell r="N118">
            <v>1625</v>
          </cell>
        </row>
        <row r="121">
          <cell r="C121">
            <v>118690.011</v>
          </cell>
          <cell r="D121">
            <v>143904.25880000001</v>
          </cell>
          <cell r="E121">
            <v>178542.6048</v>
          </cell>
          <cell r="F121">
            <v>145821.4344</v>
          </cell>
          <cell r="G121">
            <v>147985.75080000001</v>
          </cell>
          <cell r="H121">
            <v>167424.8775</v>
          </cell>
          <cell r="I121">
            <v>111493.395</v>
          </cell>
          <cell r="J121">
            <v>190646.49239999999</v>
          </cell>
          <cell r="K121">
            <v>159363.23680000001</v>
          </cell>
          <cell r="L121">
            <v>127775.5959</v>
          </cell>
          <cell r="M121">
            <v>143607.954</v>
          </cell>
          <cell r="N121">
            <v>80010.690499999997</v>
          </cell>
        </row>
      </sheetData>
      <sheetData sheetId="4">
        <row r="117">
          <cell r="C117">
            <v>1515</v>
          </cell>
          <cell r="D117">
            <v>1232</v>
          </cell>
          <cell r="E117">
            <v>1464</v>
          </cell>
          <cell r="F117">
            <v>1315</v>
          </cell>
          <cell r="G117">
            <v>890</v>
          </cell>
          <cell r="H117">
            <v>1590</v>
          </cell>
          <cell r="I117">
            <v>1073</v>
          </cell>
          <cell r="J117">
            <v>1087</v>
          </cell>
          <cell r="K117">
            <v>1408</v>
          </cell>
          <cell r="L117">
            <v>1330</v>
          </cell>
          <cell r="M117">
            <v>1121</v>
          </cell>
          <cell r="N117">
            <v>781</v>
          </cell>
        </row>
        <row r="118">
          <cell r="C118">
            <v>17814</v>
          </cell>
          <cell r="D118">
            <v>10745</v>
          </cell>
          <cell r="E118">
            <v>15196</v>
          </cell>
          <cell r="F118">
            <v>13664</v>
          </cell>
          <cell r="G118">
            <v>7880</v>
          </cell>
          <cell r="H118">
            <v>16628</v>
          </cell>
          <cell r="I118">
            <v>9652</v>
          </cell>
          <cell r="J118">
            <v>10857</v>
          </cell>
          <cell r="K118">
            <v>13343</v>
          </cell>
          <cell r="L118">
            <v>9643</v>
          </cell>
          <cell r="M118">
            <v>9045</v>
          </cell>
          <cell r="N118">
            <v>6240</v>
          </cell>
        </row>
        <row r="121">
          <cell r="C121">
            <v>696169.52799999993</v>
          </cell>
          <cell r="D121">
            <v>522781.56139999995</v>
          </cell>
          <cell r="E121">
            <v>656834.06640000001</v>
          </cell>
          <cell r="F121">
            <v>610576.49080000003</v>
          </cell>
          <cell r="G121">
            <v>411886.39600000001</v>
          </cell>
          <cell r="H121">
            <v>798248.76250000007</v>
          </cell>
          <cell r="I121">
            <v>478626.57149999996</v>
          </cell>
          <cell r="J121">
            <v>545692.94439999992</v>
          </cell>
          <cell r="K121">
            <v>634115.62560000003</v>
          </cell>
          <cell r="L121">
            <v>584724.8628</v>
          </cell>
          <cell r="M121">
            <v>498026.19219999999</v>
          </cell>
          <cell r="N121">
            <v>334238.48600000003</v>
          </cell>
        </row>
        <row r="130">
          <cell r="C130">
            <v>484</v>
          </cell>
          <cell r="D130">
            <v>224</v>
          </cell>
          <cell r="E130">
            <v>338</v>
          </cell>
          <cell r="F130">
            <v>275</v>
          </cell>
          <cell r="G130">
            <v>120</v>
          </cell>
          <cell r="H130">
            <v>413</v>
          </cell>
          <cell r="I130">
            <v>200</v>
          </cell>
          <cell r="J130">
            <v>258</v>
          </cell>
          <cell r="K130">
            <v>297</v>
          </cell>
          <cell r="L130">
            <v>238</v>
          </cell>
          <cell r="M130">
            <v>147</v>
          </cell>
          <cell r="N130">
            <v>79</v>
          </cell>
        </row>
        <row r="131">
          <cell r="C131">
            <v>10845</v>
          </cell>
          <cell r="D131">
            <v>4465</v>
          </cell>
          <cell r="E131">
            <v>6958</v>
          </cell>
          <cell r="F131">
            <v>6374</v>
          </cell>
          <cell r="G131">
            <v>2676</v>
          </cell>
          <cell r="H131">
            <v>9645</v>
          </cell>
          <cell r="I131">
            <v>4430</v>
          </cell>
          <cell r="J131">
            <v>5988</v>
          </cell>
          <cell r="K131">
            <v>6442</v>
          </cell>
          <cell r="L131">
            <v>5366</v>
          </cell>
          <cell r="M131">
            <v>3162</v>
          </cell>
          <cell r="N131">
            <v>1741</v>
          </cell>
        </row>
        <row r="132">
          <cell r="C132">
            <v>42024</v>
          </cell>
          <cell r="D132">
            <v>16789</v>
          </cell>
          <cell r="E132">
            <v>16409</v>
          </cell>
          <cell r="F132">
            <v>16607</v>
          </cell>
          <cell r="G132">
            <v>10359</v>
          </cell>
          <cell r="H132">
            <v>38379</v>
          </cell>
          <cell r="I132">
            <v>16283</v>
          </cell>
          <cell r="J132">
            <v>20792</v>
          </cell>
          <cell r="K132">
            <v>26007</v>
          </cell>
          <cell r="L132">
            <v>20789</v>
          </cell>
          <cell r="M132">
            <v>11245</v>
          </cell>
          <cell r="N132">
            <v>7501</v>
          </cell>
        </row>
        <row r="134">
          <cell r="C134">
            <v>281802.15859999997</v>
          </cell>
          <cell r="D134">
            <v>121261.0548</v>
          </cell>
          <cell r="E134">
            <v>199204.56840000002</v>
          </cell>
          <cell r="F134">
            <v>193408.1422</v>
          </cell>
          <cell r="G134">
            <v>93967.034</v>
          </cell>
          <cell r="H134">
            <v>291377.69760000001</v>
          </cell>
          <cell r="I134">
            <v>119358.70600000001</v>
          </cell>
          <cell r="J134">
            <v>159187.2352</v>
          </cell>
          <cell r="K134">
            <v>179935.01579999999</v>
          </cell>
          <cell r="L134">
            <v>169597.7046</v>
          </cell>
          <cell r="M134">
            <v>90079.242200000008</v>
          </cell>
          <cell r="N134">
            <v>52412.46</v>
          </cell>
        </row>
      </sheetData>
      <sheetData sheetId="5">
        <row r="117">
          <cell r="C117">
            <v>209</v>
          </cell>
          <cell r="D117">
            <v>237</v>
          </cell>
          <cell r="E117">
            <v>329</v>
          </cell>
          <cell r="F117">
            <v>284</v>
          </cell>
          <cell r="G117">
            <v>189</v>
          </cell>
          <cell r="H117">
            <v>306</v>
          </cell>
          <cell r="I117">
            <v>223</v>
          </cell>
          <cell r="J117">
            <v>242</v>
          </cell>
          <cell r="K117">
            <v>293</v>
          </cell>
          <cell r="L117">
            <v>330</v>
          </cell>
          <cell r="M117">
            <v>246</v>
          </cell>
          <cell r="N117">
            <v>190</v>
          </cell>
        </row>
        <row r="118">
          <cell r="C118">
            <v>1341</v>
          </cell>
          <cell r="D118">
            <v>1535</v>
          </cell>
          <cell r="E118">
            <v>2213</v>
          </cell>
          <cell r="F118">
            <v>1709</v>
          </cell>
          <cell r="G118">
            <v>1075</v>
          </cell>
          <cell r="H118">
            <v>1890</v>
          </cell>
          <cell r="I118">
            <v>1626</v>
          </cell>
          <cell r="J118">
            <v>1579</v>
          </cell>
          <cell r="K118">
            <v>2119</v>
          </cell>
          <cell r="L118">
            <v>2216</v>
          </cell>
          <cell r="M118">
            <v>1515</v>
          </cell>
          <cell r="N118">
            <v>1483</v>
          </cell>
        </row>
        <row r="121">
          <cell r="C121">
            <v>173964.64420000001</v>
          </cell>
          <cell r="D121">
            <v>210357.19680000001</v>
          </cell>
          <cell r="E121">
            <v>319861.61239999998</v>
          </cell>
          <cell r="F121">
            <v>269493.43520000001</v>
          </cell>
          <cell r="G121">
            <v>147532.8352</v>
          </cell>
          <cell r="H121">
            <v>290207.96999999997</v>
          </cell>
          <cell r="I121">
            <v>226685.32550000001</v>
          </cell>
          <cell r="J121">
            <v>219427.1096</v>
          </cell>
          <cell r="K121">
            <v>297475.46399999998</v>
          </cell>
          <cell r="L121">
            <v>403043.46220000001</v>
          </cell>
          <cell r="M121">
            <v>261500.7114</v>
          </cell>
          <cell r="N121">
            <v>221869.49100000001</v>
          </cell>
        </row>
      </sheetData>
      <sheetData sheetId="6">
        <row r="117">
          <cell r="C117">
            <v>1544</v>
          </cell>
          <cell r="D117">
            <v>3926</v>
          </cell>
          <cell r="E117">
            <v>3971</v>
          </cell>
          <cell r="F117">
            <v>2914</v>
          </cell>
          <cell r="G117">
            <v>2078</v>
          </cell>
          <cell r="H117">
            <v>2541</v>
          </cell>
          <cell r="I117">
            <v>1388</v>
          </cell>
          <cell r="J117">
            <v>1706</v>
          </cell>
          <cell r="K117">
            <v>3192</v>
          </cell>
          <cell r="L117">
            <v>2498</v>
          </cell>
          <cell r="M117">
            <v>2172</v>
          </cell>
          <cell r="N117">
            <v>1139</v>
          </cell>
        </row>
        <row r="118">
          <cell r="C118">
            <v>44534</v>
          </cell>
          <cell r="D118">
            <v>113272</v>
          </cell>
          <cell r="E118">
            <v>117285</v>
          </cell>
          <cell r="F118">
            <v>85964</v>
          </cell>
          <cell r="G118">
            <v>62039</v>
          </cell>
          <cell r="H118">
            <v>75463</v>
          </cell>
          <cell r="I118">
            <v>39906</v>
          </cell>
          <cell r="J118">
            <v>50940</v>
          </cell>
          <cell r="K118">
            <v>95935</v>
          </cell>
          <cell r="L118">
            <v>73862</v>
          </cell>
          <cell r="M118">
            <v>64110</v>
          </cell>
          <cell r="N118">
            <v>34978</v>
          </cell>
        </row>
        <row r="121">
          <cell r="C121">
            <v>578090.73419999995</v>
          </cell>
          <cell r="D121">
            <v>1383348.4113</v>
          </cell>
          <cell r="E121">
            <v>1512255.7879999999</v>
          </cell>
          <cell r="F121">
            <v>1230152.2920000001</v>
          </cell>
          <cell r="G121">
            <v>847239.01009999996</v>
          </cell>
          <cell r="H121">
            <v>977496.18839999998</v>
          </cell>
          <cell r="I121">
            <v>582787.62900000007</v>
          </cell>
          <cell r="J121">
            <v>675817.34479999996</v>
          </cell>
          <cell r="K121">
            <v>1124849.6402</v>
          </cell>
          <cell r="L121">
            <v>1150645.7664000001</v>
          </cell>
          <cell r="M121">
            <v>685261.9216</v>
          </cell>
          <cell r="N121">
            <v>480359.99739999999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par Wags"/>
      <sheetName val="Retraitement"/>
      <sheetName val="BDD Planif"/>
      <sheetName val="Recap"/>
      <sheetName val="recap CF + hors CF"/>
      <sheetName val="recap Hors CF"/>
      <sheetName val="Détail OFI Hors CF"/>
      <sheetName val="recap CF"/>
      <sheetName val="Détail OFI CF"/>
      <sheetName val="Détail OFI PF + PV"/>
      <sheetName val="01 2014"/>
      <sheetName val="02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>
            <v>0</v>
          </cell>
          <cell r="E8">
            <v>0</v>
          </cell>
        </row>
        <row r="107">
          <cell r="C107">
            <v>0</v>
          </cell>
          <cell r="D107">
            <v>0</v>
          </cell>
        </row>
      </sheetData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 CF + hors CF"/>
      <sheetName val="recap hors CF"/>
      <sheetName val="recap CF"/>
      <sheetName val="Détail OFI PF + PV"/>
      <sheetName val="T par Wags"/>
      <sheetName val="€ Tonne"/>
      <sheetName val="IL Ballast"/>
      <sheetName val="IL rails"/>
      <sheetName val="IL TBA"/>
      <sheetName val="IL Autres"/>
      <sheetName val="Infrasolutions"/>
      <sheetName val="Recap IL"/>
      <sheetName val="Liste des flux"/>
      <sheetName val="Appro PFA"/>
      <sheetName val="B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905.01469178541095</v>
          </cell>
        </row>
        <row r="3">
          <cell r="E3">
            <v>27817.029163279047</v>
          </cell>
        </row>
        <row r="4">
          <cell r="E4">
            <v>30.736549821530161</v>
          </cell>
        </row>
        <row r="5">
          <cell r="E5">
            <v>672.75395103216511</v>
          </cell>
        </row>
        <row r="6">
          <cell r="E6">
            <v>14658.77407115568</v>
          </cell>
        </row>
        <row r="8">
          <cell r="E8">
            <v>129.24311089774363</v>
          </cell>
        </row>
        <row r="9">
          <cell r="E9">
            <v>2806.2530820604889</v>
          </cell>
        </row>
        <row r="11">
          <cell r="E11">
            <v>750.40216994719151</v>
          </cell>
        </row>
        <row r="12">
          <cell r="E12">
            <v>10422.218214864364</v>
          </cell>
        </row>
        <row r="14">
          <cell r="E14">
            <v>204.76524243879018</v>
          </cell>
        </row>
        <row r="15">
          <cell r="E15">
            <v>4095.3048487758037</v>
          </cell>
        </row>
        <row r="17">
          <cell r="E17">
            <v>380.10316000000006</v>
          </cell>
        </row>
        <row r="18">
          <cell r="E18">
            <v>17033.904749692261</v>
          </cell>
        </row>
        <row r="20">
          <cell r="E20">
            <v>196.61799999999999</v>
          </cell>
        </row>
        <row r="21">
          <cell r="E21">
            <v>2949.2700000000004</v>
          </cell>
        </row>
        <row r="23">
          <cell r="E23">
            <v>0</v>
          </cell>
        </row>
        <row r="24">
          <cell r="E24">
            <v>0</v>
          </cell>
        </row>
        <row r="26">
          <cell r="E26">
            <v>245.84440515</v>
          </cell>
        </row>
        <row r="27">
          <cell r="E27">
            <v>11297.181049276574</v>
          </cell>
        </row>
        <row r="29">
          <cell r="E29">
            <v>121.60852585000001</v>
          </cell>
        </row>
        <row r="30">
          <cell r="E30">
            <v>3534.4862702212827</v>
          </cell>
        </row>
        <row r="32">
          <cell r="E32">
            <v>72.015100000000004</v>
          </cell>
        </row>
        <row r="33">
          <cell r="E33">
            <v>1440.3019999999999</v>
          </cell>
        </row>
        <row r="35">
          <cell r="E35">
            <v>43.483258814000024</v>
          </cell>
        </row>
        <row r="36">
          <cell r="E36">
            <v>5434.4877449519645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100.71311998420487</v>
          </cell>
        </row>
        <row r="42">
          <cell r="E42">
            <v>11624.758112784342</v>
          </cell>
        </row>
        <row r="44">
          <cell r="E44">
            <v>0</v>
          </cell>
        </row>
        <row r="45">
          <cell r="E45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stage"/>
      <sheetName val="Synthèse"/>
      <sheetName val="TCD"/>
      <sheetName val="TCD 2"/>
      <sheetName val="Indicateur Book"/>
      <sheetName val="Indicateurs Note"/>
      <sheetName val="Indicateurs CF pour Nelly"/>
      <sheetName val="Indicateur Mensuel"/>
      <sheetName val="Réel + Planif"/>
      <sheetName val="zoom geoparts"/>
      <sheetName val="TBA pour prev"/>
      <sheetName val="Zoom Matières"/>
      <sheetName val="Fret &amp; VFLI"/>
      <sheetName val="Suivi ope Planif B2016"/>
      <sheetName val="BDD"/>
      <sheetName val="Note"/>
      <sheetName val="Annexe"/>
      <sheetName val="Récap 2013 &amp; 2014"/>
      <sheetName val="Graph 2014"/>
      <sheetName val="BDD 2013 2014"/>
      <sheetName val="CAP Géoparts"/>
      <sheetName val="Ballast - opé par carriè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K8">
            <v>221167</v>
          </cell>
          <cell r="L8">
            <v>189284</v>
          </cell>
          <cell r="M8">
            <v>225597</v>
          </cell>
          <cell r="W8">
            <v>636048</v>
          </cell>
        </row>
        <row r="9">
          <cell r="K9">
            <v>1110.090909090909</v>
          </cell>
          <cell r="L9">
            <v>1176.4000000000001</v>
          </cell>
          <cell r="M9">
            <v>1036.0833333333333</v>
          </cell>
          <cell r="W9">
            <v>1103.2727272727273</v>
          </cell>
        </row>
        <row r="10">
          <cell r="K10">
            <v>18.11211203013676</v>
          </cell>
          <cell r="L10">
            <v>16.09010540632438</v>
          </cell>
          <cell r="M10">
            <v>18.145017292688813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17.470006591957812</v>
          </cell>
        </row>
        <row r="11">
          <cell r="K11">
            <v>0</v>
          </cell>
          <cell r="L11">
            <v>0</v>
          </cell>
          <cell r="M11">
            <v>0</v>
          </cell>
          <cell r="W11">
            <v>0</v>
          </cell>
        </row>
        <row r="12">
          <cell r="K12">
            <v>56</v>
          </cell>
          <cell r="L12">
            <v>76</v>
          </cell>
          <cell r="M12">
            <v>92</v>
          </cell>
          <cell r="W12">
            <v>224</v>
          </cell>
        </row>
        <row r="13">
          <cell r="K13">
            <v>64513</v>
          </cell>
          <cell r="L13">
            <v>74252</v>
          </cell>
          <cell r="M13">
            <v>95390</v>
          </cell>
          <cell r="W13">
            <v>234155</v>
          </cell>
        </row>
        <row r="17">
          <cell r="K17">
            <v>1069623</v>
          </cell>
          <cell r="L17">
            <v>1276863</v>
          </cell>
          <cell r="M17">
            <v>1666205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4012691</v>
          </cell>
        </row>
        <row r="29">
          <cell r="K29">
            <v>0</v>
          </cell>
          <cell r="L29">
            <v>0</v>
          </cell>
          <cell r="M29">
            <v>0</v>
          </cell>
          <cell r="W29">
            <v>0</v>
          </cell>
        </row>
        <row r="30">
          <cell r="K30">
            <v>2</v>
          </cell>
          <cell r="L30">
            <v>3</v>
          </cell>
          <cell r="M30">
            <v>3</v>
          </cell>
        </row>
        <row r="31">
          <cell r="K31">
            <v>29</v>
          </cell>
          <cell r="L31">
            <v>25.5</v>
          </cell>
          <cell r="M31">
            <v>82</v>
          </cell>
        </row>
        <row r="32">
          <cell r="K32">
            <v>36667</v>
          </cell>
          <cell r="L32">
            <v>36667</v>
          </cell>
          <cell r="M32">
            <v>36667</v>
          </cell>
        </row>
        <row r="33">
          <cell r="K33">
            <v>14.5</v>
          </cell>
          <cell r="L33">
            <v>8.5</v>
          </cell>
          <cell r="M33">
            <v>27.333333333333332</v>
          </cell>
        </row>
        <row r="35">
          <cell r="K35">
            <v>0</v>
          </cell>
          <cell r="L35">
            <v>0</v>
          </cell>
          <cell r="M35">
            <v>0</v>
          </cell>
          <cell r="W35">
            <v>0</v>
          </cell>
        </row>
        <row r="38">
          <cell r="K38">
            <v>177638</v>
          </cell>
          <cell r="L38">
            <v>177638</v>
          </cell>
          <cell r="M38">
            <v>177638</v>
          </cell>
          <cell r="W38">
            <v>532914</v>
          </cell>
        </row>
        <row r="39">
          <cell r="K39">
            <v>801.5</v>
          </cell>
          <cell r="L39">
            <v>874.47368421052636</v>
          </cell>
          <cell r="M39">
            <v>882.89473684210532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857.90384615384619</v>
          </cell>
        </row>
        <row r="40">
          <cell r="K40">
            <v>15.830852865163532</v>
          </cell>
          <cell r="L40">
            <v>10.691423412578995</v>
          </cell>
          <cell r="M40">
            <v>10.589448584202682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11.94579812153953</v>
          </cell>
        </row>
        <row r="41">
          <cell r="K41">
            <v>0</v>
          </cell>
          <cell r="L41">
            <v>0</v>
          </cell>
          <cell r="M41">
            <v>0</v>
          </cell>
          <cell r="W41">
            <v>0</v>
          </cell>
        </row>
        <row r="42">
          <cell r="K42">
            <v>0</v>
          </cell>
          <cell r="L42">
            <v>0</v>
          </cell>
          <cell r="M42">
            <v>0</v>
          </cell>
          <cell r="W42">
            <v>0</v>
          </cell>
        </row>
        <row r="43">
          <cell r="K43">
            <v>0</v>
          </cell>
          <cell r="L43">
            <v>0</v>
          </cell>
          <cell r="M43">
            <v>0</v>
          </cell>
          <cell r="W43">
            <v>0</v>
          </cell>
        </row>
        <row r="44">
          <cell r="K44">
            <v>0</v>
          </cell>
          <cell r="L44">
            <v>0</v>
          </cell>
          <cell r="M44">
            <v>0</v>
          </cell>
          <cell r="W44">
            <v>0</v>
          </cell>
        </row>
        <row r="67">
          <cell r="K67">
            <v>7422</v>
          </cell>
          <cell r="L67">
            <v>5981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13403</v>
          </cell>
        </row>
        <row r="68">
          <cell r="K68">
            <v>459703.64780000004</v>
          </cell>
          <cell r="L68">
            <v>401953.34600000008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861656.99380000005</v>
          </cell>
        </row>
        <row r="69">
          <cell r="K69">
            <v>6.9821260583254938</v>
          </cell>
          <cell r="L69">
            <v>5.7787439613526574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6.388465204957102</v>
          </cell>
        </row>
        <row r="70">
          <cell r="K70">
            <v>61.937974642953385</v>
          </cell>
          <cell r="L70">
            <v>67.205040294265189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64.288367813176166</v>
          </cell>
        </row>
        <row r="112">
          <cell r="K112">
            <v>24.465671641791044</v>
          </cell>
          <cell r="L112">
            <v>24.851908396946566</v>
          </cell>
          <cell r="M112">
            <v>26.800476190476196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76.118056229213806</v>
          </cell>
        </row>
        <row r="113">
          <cell r="K113">
            <v>51.961317451670361</v>
          </cell>
          <cell r="L113">
            <v>28.725355229254198</v>
          </cell>
          <cell r="M113">
            <v>2.5792414628624265E-4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26.8558688662118</v>
          </cell>
        </row>
        <row r="114">
          <cell r="K114">
            <v>4.6000000000000005</v>
          </cell>
          <cell r="L114">
            <v>6.3000000000000016</v>
          </cell>
          <cell r="M114">
            <v>13.2</v>
          </cell>
          <cell r="X114">
            <v>24.1</v>
          </cell>
        </row>
        <row r="115">
          <cell r="K115">
            <v>98.43</v>
          </cell>
          <cell r="L115">
            <v>73.22</v>
          </cell>
          <cell r="M115">
            <v>258.18</v>
          </cell>
          <cell r="X115">
            <v>429.83000000000004</v>
          </cell>
        </row>
        <row r="116">
          <cell r="K116">
            <v>10607.078727619559</v>
          </cell>
          <cell r="L116">
            <v>10607.078727619559</v>
          </cell>
          <cell r="M116">
            <v>10607.078727619559</v>
          </cell>
          <cell r="W116">
            <v>31821.236182858676</v>
          </cell>
        </row>
        <row r="117">
          <cell r="K117">
            <v>1229.1269229934801</v>
          </cell>
          <cell r="L117">
            <v>1658.1617923402609</v>
          </cell>
          <cell r="M117">
            <v>3269.9414366430315</v>
          </cell>
          <cell r="W117">
            <v>6157.2301519767725</v>
          </cell>
        </row>
        <row r="119">
          <cell r="K119">
            <v>21.39782608695652</v>
          </cell>
          <cell r="L119">
            <v>11.622222222222218</v>
          </cell>
          <cell r="M119">
            <v>19.559090909090912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17.835269709543571</v>
          </cell>
        </row>
        <row r="120">
          <cell r="K120">
            <v>120.24998121114537</v>
          </cell>
          <cell r="L120">
            <v>167.51216225020241</v>
          </cell>
          <cell r="M120">
            <v>53.749400279892285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88.356946548252679</v>
          </cell>
        </row>
        <row r="121">
          <cell r="K121">
            <v>550</v>
          </cell>
          <cell r="L121">
            <v>867</v>
          </cell>
          <cell r="M121">
            <v>1172</v>
          </cell>
          <cell r="X121">
            <v>2589</v>
          </cell>
        </row>
        <row r="122">
          <cell r="K122">
            <v>28124.600000000002</v>
          </cell>
          <cell r="L122">
            <v>42167.699999999983</v>
          </cell>
          <cell r="M122">
            <v>56069.000000000029</v>
          </cell>
          <cell r="X122">
            <v>126361.30000000002</v>
          </cell>
        </row>
        <row r="123">
          <cell r="K123">
            <v>623319.35232833249</v>
          </cell>
          <cell r="L123">
            <v>623319.35232833249</v>
          </cell>
          <cell r="M123">
            <v>623319.35232833249</v>
          </cell>
          <cell r="W123">
            <v>1869958.0569849974</v>
          </cell>
        </row>
        <row r="124">
          <cell r="K124">
            <v>72228.991340912675</v>
          </cell>
          <cell r="L124">
            <v>113905.32031533192</v>
          </cell>
          <cell r="M124">
            <v>153882.63769268271</v>
          </cell>
          <cell r="W124">
            <v>340016.9493489273</v>
          </cell>
        </row>
        <row r="133">
          <cell r="K133">
            <v>28.735714285714288</v>
          </cell>
          <cell r="L133">
            <v>26.363034001743682</v>
          </cell>
          <cell r="M133">
            <v>26.250733137829908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26.71611901681759</v>
          </cell>
        </row>
        <row r="134">
          <cell r="K134">
            <v>51.568461685296853</v>
          </cell>
          <cell r="L134">
            <v>35.349158911362608</v>
          </cell>
          <cell r="M134">
            <v>22.477475782283829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31.687217586892089</v>
          </cell>
        </row>
        <row r="135">
          <cell r="K135">
            <v>293.89999999999998</v>
          </cell>
          <cell r="L135">
            <v>80.949999999999989</v>
          </cell>
          <cell r="M135">
            <v>476.28000000000009</v>
          </cell>
          <cell r="X135">
            <v>851.13000000000011</v>
          </cell>
        </row>
        <row r="136">
          <cell r="K136">
            <v>10217.368999999999</v>
          </cell>
          <cell r="L136">
            <v>2712.3730000000014</v>
          </cell>
          <cell r="M136">
            <v>16251.118999999999</v>
          </cell>
          <cell r="X136">
            <v>29180.860999999997</v>
          </cell>
        </row>
        <row r="137">
          <cell r="K137">
            <v>647332.00272614078</v>
          </cell>
          <cell r="L137">
            <v>647332.00272614078</v>
          </cell>
          <cell r="M137">
            <v>647332.00272614078</v>
          </cell>
          <cell r="W137">
            <v>1941996.0081784222</v>
          </cell>
        </row>
        <row r="138">
          <cell r="K138">
            <v>75011.528913630405</v>
          </cell>
          <cell r="L138">
            <v>20750.213478271995</v>
          </cell>
          <cell r="M138">
            <v>121437.73999175584</v>
          </cell>
          <cell r="W138">
            <v>217199.48238365824</v>
          </cell>
        </row>
        <row r="140">
          <cell r="K140">
            <v>34.764780537597822</v>
          </cell>
          <cell r="L140">
            <v>33.506769610870933</v>
          </cell>
          <cell r="M140">
            <v>34.12093516418912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34.284846028221295</v>
          </cell>
        </row>
        <row r="141">
          <cell r="K141">
            <v>70.69760636419916</v>
          </cell>
          <cell r="L141">
            <v>246.30912348869879</v>
          </cell>
          <cell r="M141">
            <v>47.305649704361691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73.993549764075865</v>
          </cell>
        </row>
        <row r="142">
          <cell r="K142">
            <v>47.25</v>
          </cell>
          <cell r="L142">
            <v>58.59</v>
          </cell>
          <cell r="M142">
            <v>86.31</v>
          </cell>
          <cell r="X142">
            <v>192.15</v>
          </cell>
        </row>
        <row r="143">
          <cell r="K143">
            <v>635.48099999999988</v>
          </cell>
          <cell r="L143">
            <v>835.56899999999985</v>
          </cell>
          <cell r="M143">
            <v>1101.3030000000003</v>
          </cell>
          <cell r="X143">
            <v>2572.3530000000001</v>
          </cell>
        </row>
        <row r="144">
          <cell r="K144">
            <v>104319.61861833387</v>
          </cell>
          <cell r="L144">
            <v>104319.61861833387</v>
          </cell>
          <cell r="M144">
            <v>104319.61861833387</v>
          </cell>
          <cell r="W144">
            <v>312958.8558550016</v>
          </cell>
        </row>
        <row r="145">
          <cell r="K145">
            <v>12088.347332270781</v>
          </cell>
          <cell r="L145">
            <v>15026.656410445763</v>
          </cell>
          <cell r="M145">
            <v>21951.51111244299</v>
          </cell>
          <cell r="W145">
            <v>49066.514855159534</v>
          </cell>
        </row>
        <row r="199">
          <cell r="L199">
            <v>1545584.8602309763</v>
          </cell>
          <cell r="W199">
            <v>3359588.4026434589</v>
          </cell>
        </row>
        <row r="200">
          <cell r="W200">
            <v>0</v>
          </cell>
        </row>
        <row r="202">
          <cell r="K202">
            <v>1814003.5424124829</v>
          </cell>
          <cell r="L202">
            <v>1545584.8602309763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3359588.4026434589</v>
          </cell>
        </row>
        <row r="203">
          <cell r="K203">
            <v>1101.4423076923076</v>
          </cell>
          <cell r="L203">
            <v>1096.629213483146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1099.2227979274612</v>
          </cell>
        </row>
        <row r="204">
          <cell r="K204">
            <v>15.835910453186232</v>
          </cell>
          <cell r="L204">
            <v>15.835910453186232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15.835910453186232</v>
          </cell>
        </row>
        <row r="205">
          <cell r="W205">
            <v>0</v>
          </cell>
        </row>
        <row r="208">
          <cell r="K208">
            <v>53842.095540833179</v>
          </cell>
          <cell r="L208">
            <v>163204.8931305373</v>
          </cell>
          <cell r="W208">
            <v>217046.98867137049</v>
          </cell>
        </row>
        <row r="209">
          <cell r="W209">
            <v>0</v>
          </cell>
        </row>
        <row r="211">
          <cell r="K211">
            <v>53842.095540833179</v>
          </cell>
          <cell r="L211">
            <v>163204.8931305373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217046.98867137049</v>
          </cell>
        </row>
        <row r="212">
          <cell r="K212">
            <v>1133.3333333333333</v>
          </cell>
          <cell r="L212">
            <v>1145.1111111111111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1142.1666666666667</v>
          </cell>
        </row>
        <row r="213">
          <cell r="K213">
            <v>15.83591045318623</v>
          </cell>
          <cell r="L213">
            <v>15.835910453186232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15.835910453186232</v>
          </cell>
        </row>
        <row r="217">
          <cell r="K217">
            <v>192093.33443273589</v>
          </cell>
          <cell r="L217">
            <v>192093.33443273589</v>
          </cell>
          <cell r="W217">
            <v>384186.66886547179</v>
          </cell>
        </row>
        <row r="218">
          <cell r="K218">
            <v>840.77166051740892</v>
          </cell>
          <cell r="L218">
            <v>855.81113292471412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849.27223187805964</v>
          </cell>
        </row>
        <row r="219">
          <cell r="K219">
            <v>22.84726560770639</v>
          </cell>
          <cell r="L219">
            <v>17.265971161746464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19.668331995977251</v>
          </cell>
        </row>
        <row r="220">
          <cell r="W220">
            <v>0</v>
          </cell>
        </row>
        <row r="222">
          <cell r="K222">
            <v>86.551711018052913</v>
          </cell>
          <cell r="L222">
            <v>100.4269435528193</v>
          </cell>
          <cell r="W222">
            <v>186.97865457087221</v>
          </cell>
        </row>
        <row r="223">
          <cell r="K223">
            <v>2566.9676566724333</v>
          </cell>
          <cell r="L223">
            <v>2847.4248261232374</v>
          </cell>
          <cell r="W223">
            <v>5414.3924827956707</v>
          </cell>
        </row>
        <row r="241">
          <cell r="K241">
            <v>159098.48878321657</v>
          </cell>
          <cell r="L241">
            <v>154165.86954718723</v>
          </cell>
          <cell r="W241">
            <v>313264.3583304038</v>
          </cell>
        </row>
        <row r="242">
          <cell r="W242">
            <v>0</v>
          </cell>
        </row>
        <row r="260">
          <cell r="K260">
            <v>51.971470134832927</v>
          </cell>
          <cell r="W260">
            <v>51.998629647283131</v>
          </cell>
        </row>
        <row r="261">
          <cell r="K261">
            <v>26.199999999999996</v>
          </cell>
          <cell r="W261">
            <v>26.2</v>
          </cell>
        </row>
        <row r="263">
          <cell r="W263">
            <v>0</v>
          </cell>
        </row>
        <row r="264">
          <cell r="W264">
            <v>0</v>
          </cell>
        </row>
        <row r="267">
          <cell r="K267">
            <v>0</v>
          </cell>
          <cell r="W267">
            <v>0</v>
          </cell>
        </row>
        <row r="268">
          <cell r="K268">
            <v>0</v>
          </cell>
          <cell r="W268">
            <v>0</v>
          </cell>
        </row>
        <row r="269">
          <cell r="K269">
            <v>818</v>
          </cell>
          <cell r="W269">
            <v>1733</v>
          </cell>
        </row>
        <row r="270">
          <cell r="K270">
            <v>42526</v>
          </cell>
          <cell r="W270">
            <v>90120</v>
          </cell>
        </row>
        <row r="271">
          <cell r="K271">
            <v>704466.17676736705</v>
          </cell>
          <cell r="W271">
            <v>1408932.3535347341</v>
          </cell>
        </row>
        <row r="281">
          <cell r="K281">
            <v>28.053191489361701</v>
          </cell>
          <cell r="W281">
            <v>27.975000000000001</v>
          </cell>
        </row>
        <row r="282">
          <cell r="K282">
            <v>26.2</v>
          </cell>
          <cell r="W282">
            <v>26.199999999999996</v>
          </cell>
        </row>
        <row r="283">
          <cell r="K283">
            <v>37</v>
          </cell>
          <cell r="W283">
            <v>116</v>
          </cell>
        </row>
        <row r="284">
          <cell r="K284">
            <v>1326.3603530749472</v>
          </cell>
          <cell r="W284">
            <v>4184.2080368170318</v>
          </cell>
        </row>
        <row r="285">
          <cell r="K285">
            <v>75271.188908775293</v>
          </cell>
          <cell r="W285">
            <v>150542.37781755059</v>
          </cell>
        </row>
        <row r="288">
          <cell r="K288">
            <v>35.847577110133706</v>
          </cell>
          <cell r="W288">
            <v>36.070758938077859</v>
          </cell>
        </row>
        <row r="289">
          <cell r="K289">
            <v>64.077635033073065</v>
          </cell>
          <cell r="W289">
            <v>44.076551969603379</v>
          </cell>
        </row>
        <row r="290">
          <cell r="K290">
            <v>28</v>
          </cell>
          <cell r="W290">
            <v>125</v>
          </cell>
        </row>
        <row r="291">
          <cell r="K291">
            <v>764.16852663382224</v>
          </cell>
          <cell r="W291">
            <v>3377.7977535225973</v>
          </cell>
        </row>
        <row r="292">
          <cell r="K292">
            <v>104613.22531470364</v>
          </cell>
          <cell r="W292">
            <v>209226.45062940728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D 1"/>
      <sheetName val="Budget-Réel "/>
      <sheetName val="Graph VFLI"/>
      <sheetName val="Graph FRET"/>
      <sheetName val="Graph OFI"/>
      <sheetName val="Graph GEOPARTS"/>
      <sheetName val="Accostage"/>
      <sheetName val="Graph Accostage"/>
      <sheetName val="BDD 2"/>
      <sheetName val="CTR"/>
      <sheetName val="Vol. Carrières"/>
      <sheetName val="Graph. Carrières"/>
      <sheetName val="Graph. par Bassin"/>
      <sheetName val="CTR par bassin"/>
      <sheetName val="BDD 3"/>
      <sheetName val="Réalisé-RAF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E8">
            <v>3776</v>
          </cell>
          <cell r="F8">
            <v>4879</v>
          </cell>
          <cell r="G8">
            <v>2463</v>
          </cell>
          <cell r="H8">
            <v>0</v>
          </cell>
          <cell r="I8">
            <v>81</v>
          </cell>
          <cell r="J8">
            <v>0</v>
          </cell>
          <cell r="K8">
            <v>0</v>
          </cell>
          <cell r="L8">
            <v>0</v>
          </cell>
          <cell r="M8">
            <v>198</v>
          </cell>
          <cell r="N8">
            <v>0</v>
          </cell>
          <cell r="O8">
            <v>0</v>
          </cell>
          <cell r="P8">
            <v>0</v>
          </cell>
        </row>
        <row r="13">
          <cell r="E13">
            <v>3776</v>
          </cell>
          <cell r="F13">
            <v>8655</v>
          </cell>
          <cell r="G13">
            <v>11118</v>
          </cell>
          <cell r="H13">
            <v>11118</v>
          </cell>
          <cell r="I13">
            <v>11199</v>
          </cell>
          <cell r="J13">
            <v>11199</v>
          </cell>
          <cell r="K13">
            <v>11199</v>
          </cell>
          <cell r="L13">
            <v>11199</v>
          </cell>
          <cell r="M13">
            <v>11397</v>
          </cell>
          <cell r="N13">
            <v>11397</v>
          </cell>
          <cell r="O13">
            <v>11397</v>
          </cell>
          <cell r="P13">
            <v>11397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4065</v>
          </cell>
          <cell r="J20">
            <v>7952</v>
          </cell>
          <cell r="K20">
            <v>7040</v>
          </cell>
          <cell r="L20">
            <v>3596</v>
          </cell>
          <cell r="M20">
            <v>18180</v>
          </cell>
          <cell r="N20">
            <v>16020</v>
          </cell>
          <cell r="O20">
            <v>15051</v>
          </cell>
          <cell r="P20">
            <v>4949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4065</v>
          </cell>
          <cell r="J25">
            <v>12017</v>
          </cell>
          <cell r="K25">
            <v>19057</v>
          </cell>
          <cell r="L25">
            <v>22653</v>
          </cell>
          <cell r="M25">
            <v>40833</v>
          </cell>
          <cell r="N25">
            <v>56853</v>
          </cell>
          <cell r="O25">
            <v>71904</v>
          </cell>
          <cell r="P25">
            <v>76853</v>
          </cell>
        </row>
        <row r="32">
          <cell r="E32">
            <v>3355</v>
          </cell>
          <cell r="F32">
            <v>23630</v>
          </cell>
          <cell r="G32">
            <v>12117</v>
          </cell>
          <cell r="H32">
            <v>9779</v>
          </cell>
          <cell r="I32">
            <v>4752</v>
          </cell>
          <cell r="J32">
            <v>18249</v>
          </cell>
          <cell r="K32">
            <v>18786</v>
          </cell>
          <cell r="L32">
            <v>23873</v>
          </cell>
          <cell r="M32">
            <v>17544</v>
          </cell>
          <cell r="N32">
            <v>1478</v>
          </cell>
          <cell r="O32">
            <v>4658</v>
          </cell>
          <cell r="P32">
            <v>4293</v>
          </cell>
        </row>
        <row r="37">
          <cell r="E37">
            <v>3355</v>
          </cell>
          <cell r="F37">
            <v>26985</v>
          </cell>
          <cell r="G37">
            <v>39102</v>
          </cell>
          <cell r="H37">
            <v>48881</v>
          </cell>
          <cell r="I37">
            <v>53633</v>
          </cell>
          <cell r="J37">
            <v>71882</v>
          </cell>
          <cell r="K37">
            <v>90668</v>
          </cell>
          <cell r="L37">
            <v>114541</v>
          </cell>
          <cell r="M37">
            <v>132085</v>
          </cell>
          <cell r="N37">
            <v>133563</v>
          </cell>
          <cell r="O37">
            <v>138221</v>
          </cell>
          <cell r="P37">
            <v>142514</v>
          </cell>
        </row>
        <row r="44">
          <cell r="E44">
            <v>2390</v>
          </cell>
          <cell r="F44">
            <v>1889</v>
          </cell>
          <cell r="G44">
            <v>9570</v>
          </cell>
          <cell r="H44">
            <v>2092</v>
          </cell>
          <cell r="I44">
            <v>0</v>
          </cell>
          <cell r="J44">
            <v>0</v>
          </cell>
          <cell r="K44">
            <v>1105</v>
          </cell>
          <cell r="L44">
            <v>0</v>
          </cell>
          <cell r="M44">
            <v>711</v>
          </cell>
          <cell r="N44">
            <v>0</v>
          </cell>
          <cell r="O44">
            <v>0</v>
          </cell>
          <cell r="P44">
            <v>0</v>
          </cell>
        </row>
        <row r="49">
          <cell r="E49">
            <v>2390</v>
          </cell>
          <cell r="F49">
            <v>4279</v>
          </cell>
          <cell r="G49">
            <v>13849</v>
          </cell>
          <cell r="H49">
            <v>15941</v>
          </cell>
          <cell r="I49">
            <v>15941</v>
          </cell>
          <cell r="J49">
            <v>15941</v>
          </cell>
          <cell r="K49">
            <v>17046</v>
          </cell>
          <cell r="L49">
            <v>17046</v>
          </cell>
          <cell r="M49">
            <v>17757</v>
          </cell>
          <cell r="N49">
            <v>17757</v>
          </cell>
          <cell r="O49">
            <v>17757</v>
          </cell>
          <cell r="P49">
            <v>17757</v>
          </cell>
        </row>
        <row r="56">
          <cell r="E56">
            <v>6548</v>
          </cell>
          <cell r="F56">
            <v>8201</v>
          </cell>
          <cell r="G56">
            <v>7255</v>
          </cell>
          <cell r="H56">
            <v>7605</v>
          </cell>
          <cell r="I56">
            <v>805</v>
          </cell>
          <cell r="J56">
            <v>4400</v>
          </cell>
          <cell r="K56">
            <v>3926</v>
          </cell>
          <cell r="L56">
            <v>1339</v>
          </cell>
          <cell r="M56">
            <v>7340</v>
          </cell>
          <cell r="N56">
            <v>9411</v>
          </cell>
          <cell r="O56">
            <v>7925</v>
          </cell>
          <cell r="P56">
            <v>6072</v>
          </cell>
        </row>
        <row r="61">
          <cell r="E61">
            <v>6548</v>
          </cell>
          <cell r="F61">
            <v>14749</v>
          </cell>
          <cell r="G61">
            <v>22004</v>
          </cell>
          <cell r="H61">
            <v>29609</v>
          </cell>
          <cell r="I61">
            <v>30414</v>
          </cell>
          <cell r="J61">
            <v>34814</v>
          </cell>
          <cell r="K61">
            <v>38740</v>
          </cell>
          <cell r="L61">
            <v>40079</v>
          </cell>
          <cell r="M61">
            <v>47419</v>
          </cell>
          <cell r="N61">
            <v>56830</v>
          </cell>
          <cell r="O61">
            <v>64755</v>
          </cell>
          <cell r="P61">
            <v>70827</v>
          </cell>
        </row>
        <row r="68">
          <cell r="E68">
            <v>0</v>
          </cell>
          <cell r="F68">
            <v>0</v>
          </cell>
          <cell r="G68">
            <v>3462</v>
          </cell>
          <cell r="H68">
            <v>10158</v>
          </cell>
          <cell r="I68">
            <v>7209</v>
          </cell>
          <cell r="J68">
            <v>9580</v>
          </cell>
          <cell r="K68">
            <v>2077</v>
          </cell>
          <cell r="L68">
            <v>0</v>
          </cell>
          <cell r="M68">
            <v>0</v>
          </cell>
          <cell r="N68">
            <v>5348</v>
          </cell>
          <cell r="O68">
            <v>8662</v>
          </cell>
          <cell r="P68">
            <v>2032</v>
          </cell>
        </row>
        <row r="73">
          <cell r="E73">
            <v>0</v>
          </cell>
          <cell r="F73">
            <v>0</v>
          </cell>
          <cell r="G73">
            <v>3462</v>
          </cell>
          <cell r="H73">
            <v>13620</v>
          </cell>
          <cell r="I73">
            <v>20829</v>
          </cell>
          <cell r="J73">
            <v>30409</v>
          </cell>
          <cell r="K73">
            <v>32486</v>
          </cell>
          <cell r="L73">
            <v>32486</v>
          </cell>
          <cell r="M73">
            <v>32486</v>
          </cell>
          <cell r="N73">
            <v>37834</v>
          </cell>
          <cell r="O73">
            <v>46496</v>
          </cell>
          <cell r="P73">
            <v>48528</v>
          </cell>
        </row>
        <row r="80">
          <cell r="E80">
            <v>27868</v>
          </cell>
          <cell r="F80">
            <v>31411</v>
          </cell>
          <cell r="G80">
            <v>23968</v>
          </cell>
          <cell r="H80">
            <v>13890</v>
          </cell>
          <cell r="I80">
            <v>9889</v>
          </cell>
          <cell r="J80">
            <v>7087</v>
          </cell>
          <cell r="K80">
            <v>8316</v>
          </cell>
          <cell r="L80">
            <v>4737</v>
          </cell>
          <cell r="M80">
            <v>17120</v>
          </cell>
          <cell r="N80">
            <v>8137</v>
          </cell>
          <cell r="O80">
            <v>19996</v>
          </cell>
          <cell r="P80">
            <v>22786</v>
          </cell>
        </row>
        <row r="85">
          <cell r="E85">
            <v>27868</v>
          </cell>
          <cell r="F85">
            <v>59279</v>
          </cell>
          <cell r="G85">
            <v>83247</v>
          </cell>
          <cell r="H85">
            <v>97137</v>
          </cell>
          <cell r="I85">
            <v>107026</v>
          </cell>
          <cell r="J85">
            <v>114113</v>
          </cell>
          <cell r="K85">
            <v>122429</v>
          </cell>
          <cell r="L85">
            <v>127166</v>
          </cell>
          <cell r="M85">
            <v>144286</v>
          </cell>
          <cell r="N85">
            <v>152423</v>
          </cell>
          <cell r="O85">
            <v>172419</v>
          </cell>
          <cell r="P85">
            <v>195205</v>
          </cell>
        </row>
        <row r="92">
          <cell r="E92">
            <v>4961</v>
          </cell>
          <cell r="F92">
            <v>5050</v>
          </cell>
          <cell r="G92">
            <v>3487</v>
          </cell>
          <cell r="H92">
            <v>5688</v>
          </cell>
          <cell r="I92">
            <v>10052</v>
          </cell>
          <cell r="J92">
            <v>12287</v>
          </cell>
          <cell r="K92">
            <v>14636</v>
          </cell>
          <cell r="L92">
            <v>8108</v>
          </cell>
          <cell r="M92">
            <v>13572</v>
          </cell>
          <cell r="N92">
            <v>4046</v>
          </cell>
          <cell r="O92">
            <v>1841</v>
          </cell>
          <cell r="P92">
            <v>0</v>
          </cell>
        </row>
        <row r="97">
          <cell r="E97">
            <v>4961</v>
          </cell>
          <cell r="F97">
            <v>10011</v>
          </cell>
          <cell r="G97">
            <v>13498</v>
          </cell>
          <cell r="H97">
            <v>19186</v>
          </cell>
          <cell r="I97">
            <v>29238</v>
          </cell>
          <cell r="J97">
            <v>41525</v>
          </cell>
          <cell r="K97">
            <v>56161</v>
          </cell>
          <cell r="L97">
            <v>64269</v>
          </cell>
          <cell r="M97">
            <v>77841</v>
          </cell>
          <cell r="N97">
            <v>81887</v>
          </cell>
          <cell r="O97">
            <v>83728</v>
          </cell>
          <cell r="P97">
            <v>83728</v>
          </cell>
        </row>
        <row r="104">
          <cell r="E104">
            <v>391</v>
          </cell>
          <cell r="F104">
            <v>2057</v>
          </cell>
          <cell r="G104">
            <v>0</v>
          </cell>
          <cell r="H104">
            <v>60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9">
          <cell r="E109">
            <v>391</v>
          </cell>
          <cell r="F109">
            <v>2448</v>
          </cell>
          <cell r="G109">
            <v>2448</v>
          </cell>
          <cell r="H109">
            <v>2508</v>
          </cell>
          <cell r="I109">
            <v>2508</v>
          </cell>
          <cell r="J109">
            <v>2508</v>
          </cell>
          <cell r="K109">
            <v>2508</v>
          </cell>
          <cell r="L109">
            <v>2508</v>
          </cell>
          <cell r="M109">
            <v>2508</v>
          </cell>
          <cell r="N109">
            <v>2508</v>
          </cell>
          <cell r="O109">
            <v>2508</v>
          </cell>
          <cell r="P109">
            <v>2508</v>
          </cell>
        </row>
        <row r="116">
          <cell r="E116">
            <v>19715</v>
          </cell>
          <cell r="F116">
            <v>13544</v>
          </cell>
          <cell r="G116">
            <v>19639</v>
          </cell>
          <cell r="H116">
            <v>21311</v>
          </cell>
          <cell r="I116">
            <v>21316</v>
          </cell>
          <cell r="J116">
            <v>5732</v>
          </cell>
          <cell r="K116">
            <v>0</v>
          </cell>
          <cell r="L116">
            <v>2666</v>
          </cell>
          <cell r="M116">
            <v>660</v>
          </cell>
          <cell r="N116">
            <v>862</v>
          </cell>
          <cell r="O116">
            <v>0</v>
          </cell>
          <cell r="P116">
            <v>0</v>
          </cell>
        </row>
        <row r="121">
          <cell r="E121">
            <v>19715</v>
          </cell>
          <cell r="F121">
            <v>33259</v>
          </cell>
          <cell r="G121">
            <v>52898</v>
          </cell>
          <cell r="H121">
            <v>74209</v>
          </cell>
          <cell r="I121">
            <v>95525</v>
          </cell>
          <cell r="J121">
            <v>101257</v>
          </cell>
          <cell r="K121">
            <v>101257</v>
          </cell>
          <cell r="L121">
            <v>103923</v>
          </cell>
          <cell r="M121">
            <v>104583</v>
          </cell>
          <cell r="N121">
            <v>105445</v>
          </cell>
          <cell r="O121">
            <v>105445</v>
          </cell>
          <cell r="P121">
            <v>105445</v>
          </cell>
        </row>
        <row r="128">
          <cell r="E128">
            <v>0</v>
          </cell>
          <cell r="F128">
            <v>2283</v>
          </cell>
          <cell r="G128">
            <v>11993</v>
          </cell>
          <cell r="H128">
            <v>11977</v>
          </cell>
          <cell r="I128">
            <v>9342</v>
          </cell>
          <cell r="J128">
            <v>675</v>
          </cell>
          <cell r="K128">
            <v>2256</v>
          </cell>
          <cell r="L128">
            <v>0</v>
          </cell>
          <cell r="M128">
            <v>15279</v>
          </cell>
          <cell r="N128">
            <v>0</v>
          </cell>
          <cell r="O128">
            <v>0</v>
          </cell>
          <cell r="P128">
            <v>0</v>
          </cell>
        </row>
        <row r="133">
          <cell r="E133">
            <v>0</v>
          </cell>
          <cell r="F133">
            <v>2283</v>
          </cell>
          <cell r="G133">
            <v>14276</v>
          </cell>
          <cell r="H133">
            <v>26253</v>
          </cell>
          <cell r="I133">
            <v>35595</v>
          </cell>
          <cell r="J133">
            <v>36270</v>
          </cell>
          <cell r="K133">
            <v>38526</v>
          </cell>
          <cell r="L133">
            <v>38526</v>
          </cell>
          <cell r="M133">
            <v>53805</v>
          </cell>
          <cell r="N133">
            <v>53805</v>
          </cell>
          <cell r="O133">
            <v>53805</v>
          </cell>
          <cell r="P133">
            <v>53805</v>
          </cell>
        </row>
        <row r="140">
          <cell r="E140">
            <v>4482</v>
          </cell>
          <cell r="F140">
            <v>26675</v>
          </cell>
          <cell r="G140">
            <v>44962</v>
          </cell>
          <cell r="H140">
            <v>32106</v>
          </cell>
          <cell r="I140">
            <v>19421</v>
          </cell>
          <cell r="J140">
            <v>25225</v>
          </cell>
          <cell r="K140">
            <v>12382</v>
          </cell>
          <cell r="L140">
            <v>16280</v>
          </cell>
          <cell r="M140">
            <v>20589</v>
          </cell>
          <cell r="N140">
            <v>17811</v>
          </cell>
          <cell r="O140">
            <v>15623</v>
          </cell>
          <cell r="P140">
            <v>2023</v>
          </cell>
        </row>
        <row r="145">
          <cell r="E145">
            <v>4482</v>
          </cell>
          <cell r="F145">
            <v>31157</v>
          </cell>
          <cell r="G145">
            <v>76119</v>
          </cell>
          <cell r="H145">
            <v>108225</v>
          </cell>
          <cell r="I145">
            <v>127646</v>
          </cell>
          <cell r="J145">
            <v>152871</v>
          </cell>
          <cell r="K145">
            <v>165253</v>
          </cell>
          <cell r="L145">
            <v>181533</v>
          </cell>
          <cell r="M145">
            <v>202122</v>
          </cell>
          <cell r="N145">
            <v>219933</v>
          </cell>
          <cell r="O145">
            <v>235556</v>
          </cell>
          <cell r="P145">
            <v>237579</v>
          </cell>
        </row>
        <row r="152">
          <cell r="E152">
            <v>4429</v>
          </cell>
          <cell r="F152">
            <v>4427</v>
          </cell>
          <cell r="G152">
            <v>7035</v>
          </cell>
          <cell r="H152">
            <v>25816</v>
          </cell>
          <cell r="I152">
            <v>5693</v>
          </cell>
          <cell r="J152">
            <v>0</v>
          </cell>
          <cell r="K152">
            <v>2951</v>
          </cell>
          <cell r="L152">
            <v>8603</v>
          </cell>
          <cell r="M152">
            <v>11494</v>
          </cell>
          <cell r="N152">
            <v>16030</v>
          </cell>
          <cell r="O152">
            <v>6300</v>
          </cell>
          <cell r="P152">
            <v>4928</v>
          </cell>
        </row>
        <row r="157">
          <cell r="E157">
            <v>4429</v>
          </cell>
          <cell r="F157">
            <v>8856</v>
          </cell>
          <cell r="G157">
            <v>15891</v>
          </cell>
          <cell r="H157">
            <v>41707</v>
          </cell>
          <cell r="I157">
            <v>47400</v>
          </cell>
          <cell r="J157">
            <v>47400</v>
          </cell>
          <cell r="K157">
            <v>50351</v>
          </cell>
          <cell r="L157">
            <v>58954</v>
          </cell>
          <cell r="M157">
            <v>70448</v>
          </cell>
          <cell r="N157">
            <v>86478</v>
          </cell>
          <cell r="O157">
            <v>92778</v>
          </cell>
          <cell r="P157">
            <v>97706</v>
          </cell>
        </row>
        <row r="164">
          <cell r="E164">
            <v>25168</v>
          </cell>
          <cell r="F164">
            <v>23485</v>
          </cell>
          <cell r="G164">
            <v>10865</v>
          </cell>
          <cell r="H164">
            <v>22188</v>
          </cell>
          <cell r="I164">
            <v>5721</v>
          </cell>
          <cell r="J164">
            <v>18330</v>
          </cell>
          <cell r="K164">
            <v>27120</v>
          </cell>
          <cell r="L164">
            <v>24983</v>
          </cell>
          <cell r="M164">
            <v>25552</v>
          </cell>
          <cell r="N164">
            <v>27490</v>
          </cell>
          <cell r="O164">
            <v>21427</v>
          </cell>
          <cell r="P164">
            <v>32245</v>
          </cell>
        </row>
        <row r="169">
          <cell r="E169">
            <v>25168</v>
          </cell>
          <cell r="F169">
            <v>48653</v>
          </cell>
          <cell r="G169">
            <v>59518</v>
          </cell>
          <cell r="H169">
            <v>81706</v>
          </cell>
          <cell r="I169">
            <v>87427</v>
          </cell>
          <cell r="J169">
            <v>105757</v>
          </cell>
          <cell r="K169">
            <v>132877</v>
          </cell>
          <cell r="L169">
            <v>157860</v>
          </cell>
          <cell r="M169">
            <v>183412</v>
          </cell>
          <cell r="N169">
            <v>210902</v>
          </cell>
          <cell r="O169">
            <v>232329</v>
          </cell>
          <cell r="P169">
            <v>264574</v>
          </cell>
        </row>
        <row r="176">
          <cell r="E176">
            <v>6781</v>
          </cell>
          <cell r="F176">
            <v>7644</v>
          </cell>
          <cell r="G176">
            <v>30941</v>
          </cell>
          <cell r="H176">
            <v>9499</v>
          </cell>
          <cell r="I176">
            <v>6240</v>
          </cell>
          <cell r="J176">
            <v>2699</v>
          </cell>
          <cell r="K176">
            <v>11725</v>
          </cell>
          <cell r="L176">
            <v>6606</v>
          </cell>
          <cell r="M176">
            <v>9920</v>
          </cell>
          <cell r="N176">
            <v>3246</v>
          </cell>
          <cell r="O176">
            <v>0</v>
          </cell>
          <cell r="P176">
            <v>2034</v>
          </cell>
        </row>
        <row r="181">
          <cell r="E181">
            <v>6781</v>
          </cell>
          <cell r="F181">
            <v>14425</v>
          </cell>
          <cell r="G181">
            <v>45366</v>
          </cell>
          <cell r="H181">
            <v>54865</v>
          </cell>
          <cell r="I181">
            <v>61105</v>
          </cell>
          <cell r="J181">
            <v>63804</v>
          </cell>
          <cell r="K181">
            <v>75529</v>
          </cell>
          <cell r="L181">
            <v>82135</v>
          </cell>
          <cell r="M181">
            <v>92055</v>
          </cell>
          <cell r="N181">
            <v>95301</v>
          </cell>
          <cell r="O181">
            <v>95301</v>
          </cell>
          <cell r="P181">
            <v>97335</v>
          </cell>
        </row>
        <row r="188">
          <cell r="E188">
            <v>8246</v>
          </cell>
          <cell r="F188">
            <v>9105</v>
          </cell>
          <cell r="G188">
            <v>11309</v>
          </cell>
          <cell r="H188">
            <v>12538</v>
          </cell>
          <cell r="I188">
            <v>8391</v>
          </cell>
          <cell r="J188">
            <v>17612</v>
          </cell>
          <cell r="K188">
            <v>14184</v>
          </cell>
          <cell r="L188">
            <v>19566</v>
          </cell>
          <cell r="M188">
            <v>23189</v>
          </cell>
          <cell r="N188">
            <v>29470</v>
          </cell>
          <cell r="O188">
            <v>14862</v>
          </cell>
          <cell r="P188">
            <v>4773</v>
          </cell>
        </row>
        <row r="193">
          <cell r="E193">
            <v>8246</v>
          </cell>
          <cell r="F193">
            <v>17351</v>
          </cell>
          <cell r="G193">
            <v>28660</v>
          </cell>
          <cell r="H193">
            <v>41198</v>
          </cell>
          <cell r="I193">
            <v>49589</v>
          </cell>
          <cell r="J193">
            <v>67201</v>
          </cell>
          <cell r="K193">
            <v>81385</v>
          </cell>
          <cell r="L193">
            <v>100951</v>
          </cell>
          <cell r="M193">
            <v>124140</v>
          </cell>
          <cell r="N193">
            <v>153610</v>
          </cell>
          <cell r="O193">
            <v>168472</v>
          </cell>
          <cell r="P193">
            <v>173245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3" name="Tableau3" displayName="Tableau3" ref="B3:Q196" totalsRowShown="0" headerRowDxfId="4" tableBorderDxfId="3">
  <autoFilter ref="B3:Q196"/>
  <tableColumns count="16">
    <tableColumn id="1" name="CARRIERES" dataDxfId="2"/>
    <tableColumn id="16" name="Colonne1" dataDxfId="1"/>
    <tableColumn id="2" name="Types"/>
    <tableColumn id="3" name="Janvier" dataDxfId="0"/>
    <tableColumn id="4" name="Février"/>
    <tableColumn id="5" name="Mars"/>
    <tableColumn id="6" name="Avril"/>
    <tableColumn id="7" name="Mai"/>
    <tableColumn id="8" name="Juin"/>
    <tableColumn id="9" name="Juillet"/>
    <tableColumn id="10" name="Août"/>
    <tableColumn id="11" name="Septembre"/>
    <tableColumn id="12" name="Octobre"/>
    <tableColumn id="13" name="Novembre"/>
    <tableColumn id="14" name="Décembre"/>
    <tableColumn id="15" name="Cumul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 filterMode="1">
    <tabColor rgb="FFFF0000"/>
    <pageSetUpPr fitToPage="1"/>
  </sheetPr>
  <dimension ref="A1:AI391"/>
  <sheetViews>
    <sheetView zoomScale="75" zoomScaleNormal="70" workbookViewId="0">
      <pane xSplit="1" ySplit="1" topLeftCell="B2" activePane="bottomRight" state="frozen"/>
      <selection activeCell="P35" sqref="P35"/>
      <selection pane="topRight" activeCell="P35" sqref="P35"/>
      <selection pane="bottomLeft" activeCell="P35" sqref="P35"/>
      <selection pane="bottomRight" activeCell="P35" sqref="P35"/>
    </sheetView>
  </sheetViews>
  <sheetFormatPr baseColWidth="10" defaultRowHeight="15"/>
  <cols>
    <col min="1" max="1" width="10.7109375" customWidth="1"/>
    <col min="2" max="2" width="10.7109375" style="458" customWidth="1"/>
    <col min="3" max="3" width="10.7109375" customWidth="1"/>
    <col min="4" max="4" width="9.28515625" customWidth="1"/>
    <col min="5" max="5" width="10.85546875" customWidth="1"/>
    <col min="6" max="6" width="15.7109375" customWidth="1"/>
    <col min="7" max="7" width="9.42578125" customWidth="1"/>
    <col min="8" max="8" width="9.85546875" customWidth="1"/>
    <col min="9" max="9" width="9.28515625" customWidth="1"/>
    <col min="10" max="10" width="22.28515625" customWidth="1"/>
    <col min="11" max="22" width="9.7109375" customWidth="1"/>
    <col min="23" max="23" width="12" style="451" customWidth="1"/>
    <col min="24" max="24" width="12.42578125" style="451" customWidth="1"/>
    <col min="25" max="27" width="10.7109375" customWidth="1"/>
    <col min="28" max="28" width="10.140625" customWidth="1"/>
    <col min="29" max="29" width="8.7109375" customWidth="1"/>
    <col min="30" max="30" width="16.140625" customWidth="1"/>
    <col min="31" max="31" width="8.7109375" customWidth="1"/>
    <col min="257" max="259" width="10.7109375" customWidth="1"/>
    <col min="260" max="260" width="9.28515625" customWidth="1"/>
    <col min="261" max="261" width="10.85546875" customWidth="1"/>
    <col min="262" max="262" width="15.7109375" customWidth="1"/>
    <col min="263" max="263" width="9.42578125" customWidth="1"/>
    <col min="264" max="264" width="9.85546875" customWidth="1"/>
    <col min="265" max="265" width="9.28515625" customWidth="1"/>
    <col min="266" max="266" width="22.28515625" customWidth="1"/>
    <col min="267" max="278" width="9.7109375" customWidth="1"/>
    <col min="279" max="279" width="12" customWidth="1"/>
    <col min="280" max="280" width="12.42578125" customWidth="1"/>
    <col min="281" max="283" width="10.7109375" customWidth="1"/>
    <col min="284" max="284" width="10.140625" customWidth="1"/>
    <col min="285" max="285" width="8.7109375" customWidth="1"/>
    <col min="286" max="286" width="16.140625" customWidth="1"/>
    <col min="287" max="287" width="8.7109375" customWidth="1"/>
    <col min="513" max="515" width="10.7109375" customWidth="1"/>
    <col min="516" max="516" width="9.28515625" customWidth="1"/>
    <col min="517" max="517" width="10.85546875" customWidth="1"/>
    <col min="518" max="518" width="15.7109375" customWidth="1"/>
    <col min="519" max="519" width="9.42578125" customWidth="1"/>
    <col min="520" max="520" width="9.85546875" customWidth="1"/>
    <col min="521" max="521" width="9.28515625" customWidth="1"/>
    <col min="522" max="522" width="22.28515625" customWidth="1"/>
    <col min="523" max="534" width="9.7109375" customWidth="1"/>
    <col min="535" max="535" width="12" customWidth="1"/>
    <col min="536" max="536" width="12.42578125" customWidth="1"/>
    <col min="537" max="539" width="10.7109375" customWidth="1"/>
    <col min="540" max="540" width="10.140625" customWidth="1"/>
    <col min="541" max="541" width="8.7109375" customWidth="1"/>
    <col min="542" max="542" width="16.140625" customWidth="1"/>
    <col min="543" max="543" width="8.7109375" customWidth="1"/>
    <col min="769" max="771" width="10.7109375" customWidth="1"/>
    <col min="772" max="772" width="9.28515625" customWidth="1"/>
    <col min="773" max="773" width="10.85546875" customWidth="1"/>
    <col min="774" max="774" width="15.7109375" customWidth="1"/>
    <col min="775" max="775" width="9.42578125" customWidth="1"/>
    <col min="776" max="776" width="9.85546875" customWidth="1"/>
    <col min="777" max="777" width="9.28515625" customWidth="1"/>
    <col min="778" max="778" width="22.28515625" customWidth="1"/>
    <col min="779" max="790" width="9.7109375" customWidth="1"/>
    <col min="791" max="791" width="12" customWidth="1"/>
    <col min="792" max="792" width="12.42578125" customWidth="1"/>
    <col min="793" max="795" width="10.7109375" customWidth="1"/>
    <col min="796" max="796" width="10.140625" customWidth="1"/>
    <col min="797" max="797" width="8.7109375" customWidth="1"/>
    <col min="798" max="798" width="16.140625" customWidth="1"/>
    <col min="799" max="799" width="8.7109375" customWidth="1"/>
    <col min="1025" max="1027" width="10.7109375" customWidth="1"/>
    <col min="1028" max="1028" width="9.28515625" customWidth="1"/>
    <col min="1029" max="1029" width="10.85546875" customWidth="1"/>
    <col min="1030" max="1030" width="15.7109375" customWidth="1"/>
    <col min="1031" max="1031" width="9.42578125" customWidth="1"/>
    <col min="1032" max="1032" width="9.85546875" customWidth="1"/>
    <col min="1033" max="1033" width="9.28515625" customWidth="1"/>
    <col min="1034" max="1034" width="22.28515625" customWidth="1"/>
    <col min="1035" max="1046" width="9.7109375" customWidth="1"/>
    <col min="1047" max="1047" width="12" customWidth="1"/>
    <col min="1048" max="1048" width="12.42578125" customWidth="1"/>
    <col min="1049" max="1051" width="10.7109375" customWidth="1"/>
    <col min="1052" max="1052" width="10.140625" customWidth="1"/>
    <col min="1053" max="1053" width="8.7109375" customWidth="1"/>
    <col min="1054" max="1054" width="16.140625" customWidth="1"/>
    <col min="1055" max="1055" width="8.7109375" customWidth="1"/>
    <col min="1281" max="1283" width="10.7109375" customWidth="1"/>
    <col min="1284" max="1284" width="9.28515625" customWidth="1"/>
    <col min="1285" max="1285" width="10.85546875" customWidth="1"/>
    <col min="1286" max="1286" width="15.7109375" customWidth="1"/>
    <col min="1287" max="1287" width="9.42578125" customWidth="1"/>
    <col min="1288" max="1288" width="9.85546875" customWidth="1"/>
    <col min="1289" max="1289" width="9.28515625" customWidth="1"/>
    <col min="1290" max="1290" width="22.28515625" customWidth="1"/>
    <col min="1291" max="1302" width="9.7109375" customWidth="1"/>
    <col min="1303" max="1303" width="12" customWidth="1"/>
    <col min="1304" max="1304" width="12.42578125" customWidth="1"/>
    <col min="1305" max="1307" width="10.7109375" customWidth="1"/>
    <col min="1308" max="1308" width="10.140625" customWidth="1"/>
    <col min="1309" max="1309" width="8.7109375" customWidth="1"/>
    <col min="1310" max="1310" width="16.140625" customWidth="1"/>
    <col min="1311" max="1311" width="8.7109375" customWidth="1"/>
    <col min="1537" max="1539" width="10.7109375" customWidth="1"/>
    <col min="1540" max="1540" width="9.28515625" customWidth="1"/>
    <col min="1541" max="1541" width="10.85546875" customWidth="1"/>
    <col min="1542" max="1542" width="15.7109375" customWidth="1"/>
    <col min="1543" max="1543" width="9.42578125" customWidth="1"/>
    <col min="1544" max="1544" width="9.85546875" customWidth="1"/>
    <col min="1545" max="1545" width="9.28515625" customWidth="1"/>
    <col min="1546" max="1546" width="22.28515625" customWidth="1"/>
    <col min="1547" max="1558" width="9.7109375" customWidth="1"/>
    <col min="1559" max="1559" width="12" customWidth="1"/>
    <col min="1560" max="1560" width="12.42578125" customWidth="1"/>
    <col min="1561" max="1563" width="10.7109375" customWidth="1"/>
    <col min="1564" max="1564" width="10.140625" customWidth="1"/>
    <col min="1565" max="1565" width="8.7109375" customWidth="1"/>
    <col min="1566" max="1566" width="16.140625" customWidth="1"/>
    <col min="1567" max="1567" width="8.7109375" customWidth="1"/>
    <col min="1793" max="1795" width="10.7109375" customWidth="1"/>
    <col min="1796" max="1796" width="9.28515625" customWidth="1"/>
    <col min="1797" max="1797" width="10.85546875" customWidth="1"/>
    <col min="1798" max="1798" width="15.7109375" customWidth="1"/>
    <col min="1799" max="1799" width="9.42578125" customWidth="1"/>
    <col min="1800" max="1800" width="9.85546875" customWidth="1"/>
    <col min="1801" max="1801" width="9.28515625" customWidth="1"/>
    <col min="1802" max="1802" width="22.28515625" customWidth="1"/>
    <col min="1803" max="1814" width="9.7109375" customWidth="1"/>
    <col min="1815" max="1815" width="12" customWidth="1"/>
    <col min="1816" max="1816" width="12.42578125" customWidth="1"/>
    <col min="1817" max="1819" width="10.7109375" customWidth="1"/>
    <col min="1820" max="1820" width="10.140625" customWidth="1"/>
    <col min="1821" max="1821" width="8.7109375" customWidth="1"/>
    <col min="1822" max="1822" width="16.140625" customWidth="1"/>
    <col min="1823" max="1823" width="8.7109375" customWidth="1"/>
    <col min="2049" max="2051" width="10.7109375" customWidth="1"/>
    <col min="2052" max="2052" width="9.28515625" customWidth="1"/>
    <col min="2053" max="2053" width="10.85546875" customWidth="1"/>
    <col min="2054" max="2054" width="15.7109375" customWidth="1"/>
    <col min="2055" max="2055" width="9.42578125" customWidth="1"/>
    <col min="2056" max="2056" width="9.85546875" customWidth="1"/>
    <col min="2057" max="2057" width="9.28515625" customWidth="1"/>
    <col min="2058" max="2058" width="22.28515625" customWidth="1"/>
    <col min="2059" max="2070" width="9.7109375" customWidth="1"/>
    <col min="2071" max="2071" width="12" customWidth="1"/>
    <col min="2072" max="2072" width="12.42578125" customWidth="1"/>
    <col min="2073" max="2075" width="10.7109375" customWidth="1"/>
    <col min="2076" max="2076" width="10.140625" customWidth="1"/>
    <col min="2077" max="2077" width="8.7109375" customWidth="1"/>
    <col min="2078" max="2078" width="16.140625" customWidth="1"/>
    <col min="2079" max="2079" width="8.7109375" customWidth="1"/>
    <col min="2305" max="2307" width="10.7109375" customWidth="1"/>
    <col min="2308" max="2308" width="9.28515625" customWidth="1"/>
    <col min="2309" max="2309" width="10.85546875" customWidth="1"/>
    <col min="2310" max="2310" width="15.7109375" customWidth="1"/>
    <col min="2311" max="2311" width="9.42578125" customWidth="1"/>
    <col min="2312" max="2312" width="9.85546875" customWidth="1"/>
    <col min="2313" max="2313" width="9.28515625" customWidth="1"/>
    <col min="2314" max="2314" width="22.28515625" customWidth="1"/>
    <col min="2315" max="2326" width="9.7109375" customWidth="1"/>
    <col min="2327" max="2327" width="12" customWidth="1"/>
    <col min="2328" max="2328" width="12.42578125" customWidth="1"/>
    <col min="2329" max="2331" width="10.7109375" customWidth="1"/>
    <col min="2332" max="2332" width="10.140625" customWidth="1"/>
    <col min="2333" max="2333" width="8.7109375" customWidth="1"/>
    <col min="2334" max="2334" width="16.140625" customWidth="1"/>
    <col min="2335" max="2335" width="8.7109375" customWidth="1"/>
    <col min="2561" max="2563" width="10.7109375" customWidth="1"/>
    <col min="2564" max="2564" width="9.28515625" customWidth="1"/>
    <col min="2565" max="2565" width="10.85546875" customWidth="1"/>
    <col min="2566" max="2566" width="15.7109375" customWidth="1"/>
    <col min="2567" max="2567" width="9.42578125" customWidth="1"/>
    <col min="2568" max="2568" width="9.85546875" customWidth="1"/>
    <col min="2569" max="2569" width="9.28515625" customWidth="1"/>
    <col min="2570" max="2570" width="22.28515625" customWidth="1"/>
    <col min="2571" max="2582" width="9.7109375" customWidth="1"/>
    <col min="2583" max="2583" width="12" customWidth="1"/>
    <col min="2584" max="2584" width="12.42578125" customWidth="1"/>
    <col min="2585" max="2587" width="10.7109375" customWidth="1"/>
    <col min="2588" max="2588" width="10.140625" customWidth="1"/>
    <col min="2589" max="2589" width="8.7109375" customWidth="1"/>
    <col min="2590" max="2590" width="16.140625" customWidth="1"/>
    <col min="2591" max="2591" width="8.7109375" customWidth="1"/>
    <col min="2817" max="2819" width="10.7109375" customWidth="1"/>
    <col min="2820" max="2820" width="9.28515625" customWidth="1"/>
    <col min="2821" max="2821" width="10.85546875" customWidth="1"/>
    <col min="2822" max="2822" width="15.7109375" customWidth="1"/>
    <col min="2823" max="2823" width="9.42578125" customWidth="1"/>
    <col min="2824" max="2824" width="9.85546875" customWidth="1"/>
    <col min="2825" max="2825" width="9.28515625" customWidth="1"/>
    <col min="2826" max="2826" width="22.28515625" customWidth="1"/>
    <col min="2827" max="2838" width="9.7109375" customWidth="1"/>
    <col min="2839" max="2839" width="12" customWidth="1"/>
    <col min="2840" max="2840" width="12.42578125" customWidth="1"/>
    <col min="2841" max="2843" width="10.7109375" customWidth="1"/>
    <col min="2844" max="2844" width="10.140625" customWidth="1"/>
    <col min="2845" max="2845" width="8.7109375" customWidth="1"/>
    <col min="2846" max="2846" width="16.140625" customWidth="1"/>
    <col min="2847" max="2847" width="8.7109375" customWidth="1"/>
    <col min="3073" max="3075" width="10.7109375" customWidth="1"/>
    <col min="3076" max="3076" width="9.28515625" customWidth="1"/>
    <col min="3077" max="3077" width="10.85546875" customWidth="1"/>
    <col min="3078" max="3078" width="15.7109375" customWidth="1"/>
    <col min="3079" max="3079" width="9.42578125" customWidth="1"/>
    <col min="3080" max="3080" width="9.85546875" customWidth="1"/>
    <col min="3081" max="3081" width="9.28515625" customWidth="1"/>
    <col min="3082" max="3082" width="22.28515625" customWidth="1"/>
    <col min="3083" max="3094" width="9.7109375" customWidth="1"/>
    <col min="3095" max="3095" width="12" customWidth="1"/>
    <col min="3096" max="3096" width="12.42578125" customWidth="1"/>
    <col min="3097" max="3099" width="10.7109375" customWidth="1"/>
    <col min="3100" max="3100" width="10.140625" customWidth="1"/>
    <col min="3101" max="3101" width="8.7109375" customWidth="1"/>
    <col min="3102" max="3102" width="16.140625" customWidth="1"/>
    <col min="3103" max="3103" width="8.7109375" customWidth="1"/>
    <col min="3329" max="3331" width="10.7109375" customWidth="1"/>
    <col min="3332" max="3332" width="9.28515625" customWidth="1"/>
    <col min="3333" max="3333" width="10.85546875" customWidth="1"/>
    <col min="3334" max="3334" width="15.7109375" customWidth="1"/>
    <col min="3335" max="3335" width="9.42578125" customWidth="1"/>
    <col min="3336" max="3336" width="9.85546875" customWidth="1"/>
    <col min="3337" max="3337" width="9.28515625" customWidth="1"/>
    <col min="3338" max="3338" width="22.28515625" customWidth="1"/>
    <col min="3339" max="3350" width="9.7109375" customWidth="1"/>
    <col min="3351" max="3351" width="12" customWidth="1"/>
    <col min="3352" max="3352" width="12.42578125" customWidth="1"/>
    <col min="3353" max="3355" width="10.7109375" customWidth="1"/>
    <col min="3356" max="3356" width="10.140625" customWidth="1"/>
    <col min="3357" max="3357" width="8.7109375" customWidth="1"/>
    <col min="3358" max="3358" width="16.140625" customWidth="1"/>
    <col min="3359" max="3359" width="8.7109375" customWidth="1"/>
    <col min="3585" max="3587" width="10.7109375" customWidth="1"/>
    <col min="3588" max="3588" width="9.28515625" customWidth="1"/>
    <col min="3589" max="3589" width="10.85546875" customWidth="1"/>
    <col min="3590" max="3590" width="15.7109375" customWidth="1"/>
    <col min="3591" max="3591" width="9.42578125" customWidth="1"/>
    <col min="3592" max="3592" width="9.85546875" customWidth="1"/>
    <col min="3593" max="3593" width="9.28515625" customWidth="1"/>
    <col min="3594" max="3594" width="22.28515625" customWidth="1"/>
    <col min="3595" max="3606" width="9.7109375" customWidth="1"/>
    <col min="3607" max="3607" width="12" customWidth="1"/>
    <col min="3608" max="3608" width="12.42578125" customWidth="1"/>
    <col min="3609" max="3611" width="10.7109375" customWidth="1"/>
    <col min="3612" max="3612" width="10.140625" customWidth="1"/>
    <col min="3613" max="3613" width="8.7109375" customWidth="1"/>
    <col min="3614" max="3614" width="16.140625" customWidth="1"/>
    <col min="3615" max="3615" width="8.7109375" customWidth="1"/>
    <col min="3841" max="3843" width="10.7109375" customWidth="1"/>
    <col min="3844" max="3844" width="9.28515625" customWidth="1"/>
    <col min="3845" max="3845" width="10.85546875" customWidth="1"/>
    <col min="3846" max="3846" width="15.7109375" customWidth="1"/>
    <col min="3847" max="3847" width="9.42578125" customWidth="1"/>
    <col min="3848" max="3848" width="9.85546875" customWidth="1"/>
    <col min="3849" max="3849" width="9.28515625" customWidth="1"/>
    <col min="3850" max="3850" width="22.28515625" customWidth="1"/>
    <col min="3851" max="3862" width="9.7109375" customWidth="1"/>
    <col min="3863" max="3863" width="12" customWidth="1"/>
    <col min="3864" max="3864" width="12.42578125" customWidth="1"/>
    <col min="3865" max="3867" width="10.7109375" customWidth="1"/>
    <col min="3868" max="3868" width="10.140625" customWidth="1"/>
    <col min="3869" max="3869" width="8.7109375" customWidth="1"/>
    <col min="3870" max="3870" width="16.140625" customWidth="1"/>
    <col min="3871" max="3871" width="8.7109375" customWidth="1"/>
    <col min="4097" max="4099" width="10.7109375" customWidth="1"/>
    <col min="4100" max="4100" width="9.28515625" customWidth="1"/>
    <col min="4101" max="4101" width="10.85546875" customWidth="1"/>
    <col min="4102" max="4102" width="15.7109375" customWidth="1"/>
    <col min="4103" max="4103" width="9.42578125" customWidth="1"/>
    <col min="4104" max="4104" width="9.85546875" customWidth="1"/>
    <col min="4105" max="4105" width="9.28515625" customWidth="1"/>
    <col min="4106" max="4106" width="22.28515625" customWidth="1"/>
    <col min="4107" max="4118" width="9.7109375" customWidth="1"/>
    <col min="4119" max="4119" width="12" customWidth="1"/>
    <col min="4120" max="4120" width="12.42578125" customWidth="1"/>
    <col min="4121" max="4123" width="10.7109375" customWidth="1"/>
    <col min="4124" max="4124" width="10.140625" customWidth="1"/>
    <col min="4125" max="4125" width="8.7109375" customWidth="1"/>
    <col min="4126" max="4126" width="16.140625" customWidth="1"/>
    <col min="4127" max="4127" width="8.7109375" customWidth="1"/>
    <col min="4353" max="4355" width="10.7109375" customWidth="1"/>
    <col min="4356" max="4356" width="9.28515625" customWidth="1"/>
    <col min="4357" max="4357" width="10.85546875" customWidth="1"/>
    <col min="4358" max="4358" width="15.7109375" customWidth="1"/>
    <col min="4359" max="4359" width="9.42578125" customWidth="1"/>
    <col min="4360" max="4360" width="9.85546875" customWidth="1"/>
    <col min="4361" max="4361" width="9.28515625" customWidth="1"/>
    <col min="4362" max="4362" width="22.28515625" customWidth="1"/>
    <col min="4363" max="4374" width="9.7109375" customWidth="1"/>
    <col min="4375" max="4375" width="12" customWidth="1"/>
    <col min="4376" max="4376" width="12.42578125" customWidth="1"/>
    <col min="4377" max="4379" width="10.7109375" customWidth="1"/>
    <col min="4380" max="4380" width="10.140625" customWidth="1"/>
    <col min="4381" max="4381" width="8.7109375" customWidth="1"/>
    <col min="4382" max="4382" width="16.140625" customWidth="1"/>
    <col min="4383" max="4383" width="8.7109375" customWidth="1"/>
    <col min="4609" max="4611" width="10.7109375" customWidth="1"/>
    <col min="4612" max="4612" width="9.28515625" customWidth="1"/>
    <col min="4613" max="4613" width="10.85546875" customWidth="1"/>
    <col min="4614" max="4614" width="15.7109375" customWidth="1"/>
    <col min="4615" max="4615" width="9.42578125" customWidth="1"/>
    <col min="4616" max="4616" width="9.85546875" customWidth="1"/>
    <col min="4617" max="4617" width="9.28515625" customWidth="1"/>
    <col min="4618" max="4618" width="22.28515625" customWidth="1"/>
    <col min="4619" max="4630" width="9.7109375" customWidth="1"/>
    <col min="4631" max="4631" width="12" customWidth="1"/>
    <col min="4632" max="4632" width="12.42578125" customWidth="1"/>
    <col min="4633" max="4635" width="10.7109375" customWidth="1"/>
    <col min="4636" max="4636" width="10.140625" customWidth="1"/>
    <col min="4637" max="4637" width="8.7109375" customWidth="1"/>
    <col min="4638" max="4638" width="16.140625" customWidth="1"/>
    <col min="4639" max="4639" width="8.7109375" customWidth="1"/>
    <col min="4865" max="4867" width="10.7109375" customWidth="1"/>
    <col min="4868" max="4868" width="9.28515625" customWidth="1"/>
    <col min="4869" max="4869" width="10.85546875" customWidth="1"/>
    <col min="4870" max="4870" width="15.7109375" customWidth="1"/>
    <col min="4871" max="4871" width="9.42578125" customWidth="1"/>
    <col min="4872" max="4872" width="9.85546875" customWidth="1"/>
    <col min="4873" max="4873" width="9.28515625" customWidth="1"/>
    <col min="4874" max="4874" width="22.28515625" customWidth="1"/>
    <col min="4875" max="4886" width="9.7109375" customWidth="1"/>
    <col min="4887" max="4887" width="12" customWidth="1"/>
    <col min="4888" max="4888" width="12.42578125" customWidth="1"/>
    <col min="4889" max="4891" width="10.7109375" customWidth="1"/>
    <col min="4892" max="4892" width="10.140625" customWidth="1"/>
    <col min="4893" max="4893" width="8.7109375" customWidth="1"/>
    <col min="4894" max="4894" width="16.140625" customWidth="1"/>
    <col min="4895" max="4895" width="8.7109375" customWidth="1"/>
    <col min="5121" max="5123" width="10.7109375" customWidth="1"/>
    <col min="5124" max="5124" width="9.28515625" customWidth="1"/>
    <col min="5125" max="5125" width="10.85546875" customWidth="1"/>
    <col min="5126" max="5126" width="15.7109375" customWidth="1"/>
    <col min="5127" max="5127" width="9.42578125" customWidth="1"/>
    <col min="5128" max="5128" width="9.85546875" customWidth="1"/>
    <col min="5129" max="5129" width="9.28515625" customWidth="1"/>
    <col min="5130" max="5130" width="22.28515625" customWidth="1"/>
    <col min="5131" max="5142" width="9.7109375" customWidth="1"/>
    <col min="5143" max="5143" width="12" customWidth="1"/>
    <col min="5144" max="5144" width="12.42578125" customWidth="1"/>
    <col min="5145" max="5147" width="10.7109375" customWidth="1"/>
    <col min="5148" max="5148" width="10.140625" customWidth="1"/>
    <col min="5149" max="5149" width="8.7109375" customWidth="1"/>
    <col min="5150" max="5150" width="16.140625" customWidth="1"/>
    <col min="5151" max="5151" width="8.7109375" customWidth="1"/>
    <col min="5377" max="5379" width="10.7109375" customWidth="1"/>
    <col min="5380" max="5380" width="9.28515625" customWidth="1"/>
    <col min="5381" max="5381" width="10.85546875" customWidth="1"/>
    <col min="5382" max="5382" width="15.7109375" customWidth="1"/>
    <col min="5383" max="5383" width="9.42578125" customWidth="1"/>
    <col min="5384" max="5384" width="9.85546875" customWidth="1"/>
    <col min="5385" max="5385" width="9.28515625" customWidth="1"/>
    <col min="5386" max="5386" width="22.28515625" customWidth="1"/>
    <col min="5387" max="5398" width="9.7109375" customWidth="1"/>
    <col min="5399" max="5399" width="12" customWidth="1"/>
    <col min="5400" max="5400" width="12.42578125" customWidth="1"/>
    <col min="5401" max="5403" width="10.7109375" customWidth="1"/>
    <col min="5404" max="5404" width="10.140625" customWidth="1"/>
    <col min="5405" max="5405" width="8.7109375" customWidth="1"/>
    <col min="5406" max="5406" width="16.140625" customWidth="1"/>
    <col min="5407" max="5407" width="8.7109375" customWidth="1"/>
    <col min="5633" max="5635" width="10.7109375" customWidth="1"/>
    <col min="5636" max="5636" width="9.28515625" customWidth="1"/>
    <col min="5637" max="5637" width="10.85546875" customWidth="1"/>
    <col min="5638" max="5638" width="15.7109375" customWidth="1"/>
    <col min="5639" max="5639" width="9.42578125" customWidth="1"/>
    <col min="5640" max="5640" width="9.85546875" customWidth="1"/>
    <col min="5641" max="5641" width="9.28515625" customWidth="1"/>
    <col min="5642" max="5642" width="22.28515625" customWidth="1"/>
    <col min="5643" max="5654" width="9.7109375" customWidth="1"/>
    <col min="5655" max="5655" width="12" customWidth="1"/>
    <col min="5656" max="5656" width="12.42578125" customWidth="1"/>
    <col min="5657" max="5659" width="10.7109375" customWidth="1"/>
    <col min="5660" max="5660" width="10.140625" customWidth="1"/>
    <col min="5661" max="5661" width="8.7109375" customWidth="1"/>
    <col min="5662" max="5662" width="16.140625" customWidth="1"/>
    <col min="5663" max="5663" width="8.7109375" customWidth="1"/>
    <col min="5889" max="5891" width="10.7109375" customWidth="1"/>
    <col min="5892" max="5892" width="9.28515625" customWidth="1"/>
    <col min="5893" max="5893" width="10.85546875" customWidth="1"/>
    <col min="5894" max="5894" width="15.7109375" customWidth="1"/>
    <col min="5895" max="5895" width="9.42578125" customWidth="1"/>
    <col min="5896" max="5896" width="9.85546875" customWidth="1"/>
    <col min="5897" max="5897" width="9.28515625" customWidth="1"/>
    <col min="5898" max="5898" width="22.28515625" customWidth="1"/>
    <col min="5899" max="5910" width="9.7109375" customWidth="1"/>
    <col min="5911" max="5911" width="12" customWidth="1"/>
    <col min="5912" max="5912" width="12.42578125" customWidth="1"/>
    <col min="5913" max="5915" width="10.7109375" customWidth="1"/>
    <col min="5916" max="5916" width="10.140625" customWidth="1"/>
    <col min="5917" max="5917" width="8.7109375" customWidth="1"/>
    <col min="5918" max="5918" width="16.140625" customWidth="1"/>
    <col min="5919" max="5919" width="8.7109375" customWidth="1"/>
    <col min="6145" max="6147" width="10.7109375" customWidth="1"/>
    <col min="6148" max="6148" width="9.28515625" customWidth="1"/>
    <col min="6149" max="6149" width="10.85546875" customWidth="1"/>
    <col min="6150" max="6150" width="15.7109375" customWidth="1"/>
    <col min="6151" max="6151" width="9.42578125" customWidth="1"/>
    <col min="6152" max="6152" width="9.85546875" customWidth="1"/>
    <col min="6153" max="6153" width="9.28515625" customWidth="1"/>
    <col min="6154" max="6154" width="22.28515625" customWidth="1"/>
    <col min="6155" max="6166" width="9.7109375" customWidth="1"/>
    <col min="6167" max="6167" width="12" customWidth="1"/>
    <col min="6168" max="6168" width="12.42578125" customWidth="1"/>
    <col min="6169" max="6171" width="10.7109375" customWidth="1"/>
    <col min="6172" max="6172" width="10.140625" customWidth="1"/>
    <col min="6173" max="6173" width="8.7109375" customWidth="1"/>
    <col min="6174" max="6174" width="16.140625" customWidth="1"/>
    <col min="6175" max="6175" width="8.7109375" customWidth="1"/>
    <col min="6401" max="6403" width="10.7109375" customWidth="1"/>
    <col min="6404" max="6404" width="9.28515625" customWidth="1"/>
    <col min="6405" max="6405" width="10.85546875" customWidth="1"/>
    <col min="6406" max="6406" width="15.7109375" customWidth="1"/>
    <col min="6407" max="6407" width="9.42578125" customWidth="1"/>
    <col min="6408" max="6408" width="9.85546875" customWidth="1"/>
    <col min="6409" max="6409" width="9.28515625" customWidth="1"/>
    <col min="6410" max="6410" width="22.28515625" customWidth="1"/>
    <col min="6411" max="6422" width="9.7109375" customWidth="1"/>
    <col min="6423" max="6423" width="12" customWidth="1"/>
    <col min="6424" max="6424" width="12.42578125" customWidth="1"/>
    <col min="6425" max="6427" width="10.7109375" customWidth="1"/>
    <col min="6428" max="6428" width="10.140625" customWidth="1"/>
    <col min="6429" max="6429" width="8.7109375" customWidth="1"/>
    <col min="6430" max="6430" width="16.140625" customWidth="1"/>
    <col min="6431" max="6431" width="8.7109375" customWidth="1"/>
    <col min="6657" max="6659" width="10.7109375" customWidth="1"/>
    <col min="6660" max="6660" width="9.28515625" customWidth="1"/>
    <col min="6661" max="6661" width="10.85546875" customWidth="1"/>
    <col min="6662" max="6662" width="15.7109375" customWidth="1"/>
    <col min="6663" max="6663" width="9.42578125" customWidth="1"/>
    <col min="6664" max="6664" width="9.85546875" customWidth="1"/>
    <col min="6665" max="6665" width="9.28515625" customWidth="1"/>
    <col min="6666" max="6666" width="22.28515625" customWidth="1"/>
    <col min="6667" max="6678" width="9.7109375" customWidth="1"/>
    <col min="6679" max="6679" width="12" customWidth="1"/>
    <col min="6680" max="6680" width="12.42578125" customWidth="1"/>
    <col min="6681" max="6683" width="10.7109375" customWidth="1"/>
    <col min="6684" max="6684" width="10.140625" customWidth="1"/>
    <col min="6685" max="6685" width="8.7109375" customWidth="1"/>
    <col min="6686" max="6686" width="16.140625" customWidth="1"/>
    <col min="6687" max="6687" width="8.7109375" customWidth="1"/>
    <col min="6913" max="6915" width="10.7109375" customWidth="1"/>
    <col min="6916" max="6916" width="9.28515625" customWidth="1"/>
    <col min="6917" max="6917" width="10.85546875" customWidth="1"/>
    <col min="6918" max="6918" width="15.7109375" customWidth="1"/>
    <col min="6919" max="6919" width="9.42578125" customWidth="1"/>
    <col min="6920" max="6920" width="9.85546875" customWidth="1"/>
    <col min="6921" max="6921" width="9.28515625" customWidth="1"/>
    <col min="6922" max="6922" width="22.28515625" customWidth="1"/>
    <col min="6923" max="6934" width="9.7109375" customWidth="1"/>
    <col min="6935" max="6935" width="12" customWidth="1"/>
    <col min="6936" max="6936" width="12.42578125" customWidth="1"/>
    <col min="6937" max="6939" width="10.7109375" customWidth="1"/>
    <col min="6940" max="6940" width="10.140625" customWidth="1"/>
    <col min="6941" max="6941" width="8.7109375" customWidth="1"/>
    <col min="6942" max="6942" width="16.140625" customWidth="1"/>
    <col min="6943" max="6943" width="8.7109375" customWidth="1"/>
    <col min="7169" max="7171" width="10.7109375" customWidth="1"/>
    <col min="7172" max="7172" width="9.28515625" customWidth="1"/>
    <col min="7173" max="7173" width="10.85546875" customWidth="1"/>
    <col min="7174" max="7174" width="15.7109375" customWidth="1"/>
    <col min="7175" max="7175" width="9.42578125" customWidth="1"/>
    <col min="7176" max="7176" width="9.85546875" customWidth="1"/>
    <col min="7177" max="7177" width="9.28515625" customWidth="1"/>
    <col min="7178" max="7178" width="22.28515625" customWidth="1"/>
    <col min="7179" max="7190" width="9.7109375" customWidth="1"/>
    <col min="7191" max="7191" width="12" customWidth="1"/>
    <col min="7192" max="7192" width="12.42578125" customWidth="1"/>
    <col min="7193" max="7195" width="10.7109375" customWidth="1"/>
    <col min="7196" max="7196" width="10.140625" customWidth="1"/>
    <col min="7197" max="7197" width="8.7109375" customWidth="1"/>
    <col min="7198" max="7198" width="16.140625" customWidth="1"/>
    <col min="7199" max="7199" width="8.7109375" customWidth="1"/>
    <col min="7425" max="7427" width="10.7109375" customWidth="1"/>
    <col min="7428" max="7428" width="9.28515625" customWidth="1"/>
    <col min="7429" max="7429" width="10.85546875" customWidth="1"/>
    <col min="7430" max="7430" width="15.7109375" customWidth="1"/>
    <col min="7431" max="7431" width="9.42578125" customWidth="1"/>
    <col min="7432" max="7432" width="9.85546875" customWidth="1"/>
    <col min="7433" max="7433" width="9.28515625" customWidth="1"/>
    <col min="7434" max="7434" width="22.28515625" customWidth="1"/>
    <col min="7435" max="7446" width="9.7109375" customWidth="1"/>
    <col min="7447" max="7447" width="12" customWidth="1"/>
    <col min="7448" max="7448" width="12.42578125" customWidth="1"/>
    <col min="7449" max="7451" width="10.7109375" customWidth="1"/>
    <col min="7452" max="7452" width="10.140625" customWidth="1"/>
    <col min="7453" max="7453" width="8.7109375" customWidth="1"/>
    <col min="7454" max="7454" width="16.140625" customWidth="1"/>
    <col min="7455" max="7455" width="8.7109375" customWidth="1"/>
    <col min="7681" max="7683" width="10.7109375" customWidth="1"/>
    <col min="7684" max="7684" width="9.28515625" customWidth="1"/>
    <col min="7685" max="7685" width="10.85546875" customWidth="1"/>
    <col min="7686" max="7686" width="15.7109375" customWidth="1"/>
    <col min="7687" max="7687" width="9.42578125" customWidth="1"/>
    <col min="7688" max="7688" width="9.85546875" customWidth="1"/>
    <col min="7689" max="7689" width="9.28515625" customWidth="1"/>
    <col min="7690" max="7690" width="22.28515625" customWidth="1"/>
    <col min="7691" max="7702" width="9.7109375" customWidth="1"/>
    <col min="7703" max="7703" width="12" customWidth="1"/>
    <col min="7704" max="7704" width="12.42578125" customWidth="1"/>
    <col min="7705" max="7707" width="10.7109375" customWidth="1"/>
    <col min="7708" max="7708" width="10.140625" customWidth="1"/>
    <col min="7709" max="7709" width="8.7109375" customWidth="1"/>
    <col min="7710" max="7710" width="16.140625" customWidth="1"/>
    <col min="7711" max="7711" width="8.7109375" customWidth="1"/>
    <col min="7937" max="7939" width="10.7109375" customWidth="1"/>
    <col min="7940" max="7940" width="9.28515625" customWidth="1"/>
    <col min="7941" max="7941" width="10.85546875" customWidth="1"/>
    <col min="7942" max="7942" width="15.7109375" customWidth="1"/>
    <col min="7943" max="7943" width="9.42578125" customWidth="1"/>
    <col min="7944" max="7944" width="9.85546875" customWidth="1"/>
    <col min="7945" max="7945" width="9.28515625" customWidth="1"/>
    <col min="7946" max="7946" width="22.28515625" customWidth="1"/>
    <col min="7947" max="7958" width="9.7109375" customWidth="1"/>
    <col min="7959" max="7959" width="12" customWidth="1"/>
    <col min="7960" max="7960" width="12.42578125" customWidth="1"/>
    <col min="7961" max="7963" width="10.7109375" customWidth="1"/>
    <col min="7964" max="7964" width="10.140625" customWidth="1"/>
    <col min="7965" max="7965" width="8.7109375" customWidth="1"/>
    <col min="7966" max="7966" width="16.140625" customWidth="1"/>
    <col min="7967" max="7967" width="8.7109375" customWidth="1"/>
    <col min="8193" max="8195" width="10.7109375" customWidth="1"/>
    <col min="8196" max="8196" width="9.28515625" customWidth="1"/>
    <col min="8197" max="8197" width="10.85546875" customWidth="1"/>
    <col min="8198" max="8198" width="15.7109375" customWidth="1"/>
    <col min="8199" max="8199" width="9.42578125" customWidth="1"/>
    <col min="8200" max="8200" width="9.85546875" customWidth="1"/>
    <col min="8201" max="8201" width="9.28515625" customWidth="1"/>
    <col min="8202" max="8202" width="22.28515625" customWidth="1"/>
    <col min="8203" max="8214" width="9.7109375" customWidth="1"/>
    <col min="8215" max="8215" width="12" customWidth="1"/>
    <col min="8216" max="8216" width="12.42578125" customWidth="1"/>
    <col min="8217" max="8219" width="10.7109375" customWidth="1"/>
    <col min="8220" max="8220" width="10.140625" customWidth="1"/>
    <col min="8221" max="8221" width="8.7109375" customWidth="1"/>
    <col min="8222" max="8222" width="16.140625" customWidth="1"/>
    <col min="8223" max="8223" width="8.7109375" customWidth="1"/>
    <col min="8449" max="8451" width="10.7109375" customWidth="1"/>
    <col min="8452" max="8452" width="9.28515625" customWidth="1"/>
    <col min="8453" max="8453" width="10.85546875" customWidth="1"/>
    <col min="8454" max="8454" width="15.7109375" customWidth="1"/>
    <col min="8455" max="8455" width="9.42578125" customWidth="1"/>
    <col min="8456" max="8456" width="9.85546875" customWidth="1"/>
    <col min="8457" max="8457" width="9.28515625" customWidth="1"/>
    <col min="8458" max="8458" width="22.28515625" customWidth="1"/>
    <col min="8459" max="8470" width="9.7109375" customWidth="1"/>
    <col min="8471" max="8471" width="12" customWidth="1"/>
    <col min="8472" max="8472" width="12.42578125" customWidth="1"/>
    <col min="8473" max="8475" width="10.7109375" customWidth="1"/>
    <col min="8476" max="8476" width="10.140625" customWidth="1"/>
    <col min="8477" max="8477" width="8.7109375" customWidth="1"/>
    <col min="8478" max="8478" width="16.140625" customWidth="1"/>
    <col min="8479" max="8479" width="8.7109375" customWidth="1"/>
    <col min="8705" max="8707" width="10.7109375" customWidth="1"/>
    <col min="8708" max="8708" width="9.28515625" customWidth="1"/>
    <col min="8709" max="8709" width="10.85546875" customWidth="1"/>
    <col min="8710" max="8710" width="15.7109375" customWidth="1"/>
    <col min="8711" max="8711" width="9.42578125" customWidth="1"/>
    <col min="8712" max="8712" width="9.85546875" customWidth="1"/>
    <col min="8713" max="8713" width="9.28515625" customWidth="1"/>
    <col min="8714" max="8714" width="22.28515625" customWidth="1"/>
    <col min="8715" max="8726" width="9.7109375" customWidth="1"/>
    <col min="8727" max="8727" width="12" customWidth="1"/>
    <col min="8728" max="8728" width="12.42578125" customWidth="1"/>
    <col min="8729" max="8731" width="10.7109375" customWidth="1"/>
    <col min="8732" max="8732" width="10.140625" customWidth="1"/>
    <col min="8733" max="8733" width="8.7109375" customWidth="1"/>
    <col min="8734" max="8734" width="16.140625" customWidth="1"/>
    <col min="8735" max="8735" width="8.7109375" customWidth="1"/>
    <col min="8961" max="8963" width="10.7109375" customWidth="1"/>
    <col min="8964" max="8964" width="9.28515625" customWidth="1"/>
    <col min="8965" max="8965" width="10.85546875" customWidth="1"/>
    <col min="8966" max="8966" width="15.7109375" customWidth="1"/>
    <col min="8967" max="8967" width="9.42578125" customWidth="1"/>
    <col min="8968" max="8968" width="9.85546875" customWidth="1"/>
    <col min="8969" max="8969" width="9.28515625" customWidth="1"/>
    <col min="8970" max="8970" width="22.28515625" customWidth="1"/>
    <col min="8971" max="8982" width="9.7109375" customWidth="1"/>
    <col min="8983" max="8983" width="12" customWidth="1"/>
    <col min="8984" max="8984" width="12.42578125" customWidth="1"/>
    <col min="8985" max="8987" width="10.7109375" customWidth="1"/>
    <col min="8988" max="8988" width="10.140625" customWidth="1"/>
    <col min="8989" max="8989" width="8.7109375" customWidth="1"/>
    <col min="8990" max="8990" width="16.140625" customWidth="1"/>
    <col min="8991" max="8991" width="8.7109375" customWidth="1"/>
    <col min="9217" max="9219" width="10.7109375" customWidth="1"/>
    <col min="9220" max="9220" width="9.28515625" customWidth="1"/>
    <col min="9221" max="9221" width="10.85546875" customWidth="1"/>
    <col min="9222" max="9222" width="15.7109375" customWidth="1"/>
    <col min="9223" max="9223" width="9.42578125" customWidth="1"/>
    <col min="9224" max="9224" width="9.85546875" customWidth="1"/>
    <col min="9225" max="9225" width="9.28515625" customWidth="1"/>
    <col min="9226" max="9226" width="22.28515625" customWidth="1"/>
    <col min="9227" max="9238" width="9.7109375" customWidth="1"/>
    <col min="9239" max="9239" width="12" customWidth="1"/>
    <col min="9240" max="9240" width="12.42578125" customWidth="1"/>
    <col min="9241" max="9243" width="10.7109375" customWidth="1"/>
    <col min="9244" max="9244" width="10.140625" customWidth="1"/>
    <col min="9245" max="9245" width="8.7109375" customWidth="1"/>
    <col min="9246" max="9246" width="16.140625" customWidth="1"/>
    <col min="9247" max="9247" width="8.7109375" customWidth="1"/>
    <col min="9473" max="9475" width="10.7109375" customWidth="1"/>
    <col min="9476" max="9476" width="9.28515625" customWidth="1"/>
    <col min="9477" max="9477" width="10.85546875" customWidth="1"/>
    <col min="9478" max="9478" width="15.7109375" customWidth="1"/>
    <col min="9479" max="9479" width="9.42578125" customWidth="1"/>
    <col min="9480" max="9480" width="9.85546875" customWidth="1"/>
    <col min="9481" max="9481" width="9.28515625" customWidth="1"/>
    <col min="9482" max="9482" width="22.28515625" customWidth="1"/>
    <col min="9483" max="9494" width="9.7109375" customWidth="1"/>
    <col min="9495" max="9495" width="12" customWidth="1"/>
    <col min="9496" max="9496" width="12.42578125" customWidth="1"/>
    <col min="9497" max="9499" width="10.7109375" customWidth="1"/>
    <col min="9500" max="9500" width="10.140625" customWidth="1"/>
    <col min="9501" max="9501" width="8.7109375" customWidth="1"/>
    <col min="9502" max="9502" width="16.140625" customWidth="1"/>
    <col min="9503" max="9503" width="8.7109375" customWidth="1"/>
    <col min="9729" max="9731" width="10.7109375" customWidth="1"/>
    <col min="9732" max="9732" width="9.28515625" customWidth="1"/>
    <col min="9733" max="9733" width="10.85546875" customWidth="1"/>
    <col min="9734" max="9734" width="15.7109375" customWidth="1"/>
    <col min="9735" max="9735" width="9.42578125" customWidth="1"/>
    <col min="9736" max="9736" width="9.85546875" customWidth="1"/>
    <col min="9737" max="9737" width="9.28515625" customWidth="1"/>
    <col min="9738" max="9738" width="22.28515625" customWidth="1"/>
    <col min="9739" max="9750" width="9.7109375" customWidth="1"/>
    <col min="9751" max="9751" width="12" customWidth="1"/>
    <col min="9752" max="9752" width="12.42578125" customWidth="1"/>
    <col min="9753" max="9755" width="10.7109375" customWidth="1"/>
    <col min="9756" max="9756" width="10.140625" customWidth="1"/>
    <col min="9757" max="9757" width="8.7109375" customWidth="1"/>
    <col min="9758" max="9758" width="16.140625" customWidth="1"/>
    <col min="9759" max="9759" width="8.7109375" customWidth="1"/>
    <col min="9985" max="9987" width="10.7109375" customWidth="1"/>
    <col min="9988" max="9988" width="9.28515625" customWidth="1"/>
    <col min="9989" max="9989" width="10.85546875" customWidth="1"/>
    <col min="9990" max="9990" width="15.7109375" customWidth="1"/>
    <col min="9991" max="9991" width="9.42578125" customWidth="1"/>
    <col min="9992" max="9992" width="9.85546875" customWidth="1"/>
    <col min="9993" max="9993" width="9.28515625" customWidth="1"/>
    <col min="9994" max="9994" width="22.28515625" customWidth="1"/>
    <col min="9995" max="10006" width="9.7109375" customWidth="1"/>
    <col min="10007" max="10007" width="12" customWidth="1"/>
    <col min="10008" max="10008" width="12.42578125" customWidth="1"/>
    <col min="10009" max="10011" width="10.7109375" customWidth="1"/>
    <col min="10012" max="10012" width="10.140625" customWidth="1"/>
    <col min="10013" max="10013" width="8.7109375" customWidth="1"/>
    <col min="10014" max="10014" width="16.140625" customWidth="1"/>
    <col min="10015" max="10015" width="8.7109375" customWidth="1"/>
    <col min="10241" max="10243" width="10.7109375" customWidth="1"/>
    <col min="10244" max="10244" width="9.28515625" customWidth="1"/>
    <col min="10245" max="10245" width="10.85546875" customWidth="1"/>
    <col min="10246" max="10246" width="15.7109375" customWidth="1"/>
    <col min="10247" max="10247" width="9.42578125" customWidth="1"/>
    <col min="10248" max="10248" width="9.85546875" customWidth="1"/>
    <col min="10249" max="10249" width="9.28515625" customWidth="1"/>
    <col min="10250" max="10250" width="22.28515625" customWidth="1"/>
    <col min="10251" max="10262" width="9.7109375" customWidth="1"/>
    <col min="10263" max="10263" width="12" customWidth="1"/>
    <col min="10264" max="10264" width="12.42578125" customWidth="1"/>
    <col min="10265" max="10267" width="10.7109375" customWidth="1"/>
    <col min="10268" max="10268" width="10.140625" customWidth="1"/>
    <col min="10269" max="10269" width="8.7109375" customWidth="1"/>
    <col min="10270" max="10270" width="16.140625" customWidth="1"/>
    <col min="10271" max="10271" width="8.7109375" customWidth="1"/>
    <col min="10497" max="10499" width="10.7109375" customWidth="1"/>
    <col min="10500" max="10500" width="9.28515625" customWidth="1"/>
    <col min="10501" max="10501" width="10.85546875" customWidth="1"/>
    <col min="10502" max="10502" width="15.7109375" customWidth="1"/>
    <col min="10503" max="10503" width="9.42578125" customWidth="1"/>
    <col min="10504" max="10504" width="9.85546875" customWidth="1"/>
    <col min="10505" max="10505" width="9.28515625" customWidth="1"/>
    <col min="10506" max="10506" width="22.28515625" customWidth="1"/>
    <col min="10507" max="10518" width="9.7109375" customWidth="1"/>
    <col min="10519" max="10519" width="12" customWidth="1"/>
    <col min="10520" max="10520" width="12.42578125" customWidth="1"/>
    <col min="10521" max="10523" width="10.7109375" customWidth="1"/>
    <col min="10524" max="10524" width="10.140625" customWidth="1"/>
    <col min="10525" max="10525" width="8.7109375" customWidth="1"/>
    <col min="10526" max="10526" width="16.140625" customWidth="1"/>
    <col min="10527" max="10527" width="8.7109375" customWidth="1"/>
    <col min="10753" max="10755" width="10.7109375" customWidth="1"/>
    <col min="10756" max="10756" width="9.28515625" customWidth="1"/>
    <col min="10757" max="10757" width="10.85546875" customWidth="1"/>
    <col min="10758" max="10758" width="15.7109375" customWidth="1"/>
    <col min="10759" max="10759" width="9.42578125" customWidth="1"/>
    <col min="10760" max="10760" width="9.85546875" customWidth="1"/>
    <col min="10761" max="10761" width="9.28515625" customWidth="1"/>
    <col min="10762" max="10762" width="22.28515625" customWidth="1"/>
    <col min="10763" max="10774" width="9.7109375" customWidth="1"/>
    <col min="10775" max="10775" width="12" customWidth="1"/>
    <col min="10776" max="10776" width="12.42578125" customWidth="1"/>
    <col min="10777" max="10779" width="10.7109375" customWidth="1"/>
    <col min="10780" max="10780" width="10.140625" customWidth="1"/>
    <col min="10781" max="10781" width="8.7109375" customWidth="1"/>
    <col min="10782" max="10782" width="16.140625" customWidth="1"/>
    <col min="10783" max="10783" width="8.7109375" customWidth="1"/>
    <col min="11009" max="11011" width="10.7109375" customWidth="1"/>
    <col min="11012" max="11012" width="9.28515625" customWidth="1"/>
    <col min="11013" max="11013" width="10.85546875" customWidth="1"/>
    <col min="11014" max="11014" width="15.7109375" customWidth="1"/>
    <col min="11015" max="11015" width="9.42578125" customWidth="1"/>
    <col min="11016" max="11016" width="9.85546875" customWidth="1"/>
    <col min="11017" max="11017" width="9.28515625" customWidth="1"/>
    <col min="11018" max="11018" width="22.28515625" customWidth="1"/>
    <col min="11019" max="11030" width="9.7109375" customWidth="1"/>
    <col min="11031" max="11031" width="12" customWidth="1"/>
    <col min="11032" max="11032" width="12.42578125" customWidth="1"/>
    <col min="11033" max="11035" width="10.7109375" customWidth="1"/>
    <col min="11036" max="11036" width="10.140625" customWidth="1"/>
    <col min="11037" max="11037" width="8.7109375" customWidth="1"/>
    <col min="11038" max="11038" width="16.140625" customWidth="1"/>
    <col min="11039" max="11039" width="8.7109375" customWidth="1"/>
    <col min="11265" max="11267" width="10.7109375" customWidth="1"/>
    <col min="11268" max="11268" width="9.28515625" customWidth="1"/>
    <col min="11269" max="11269" width="10.85546875" customWidth="1"/>
    <col min="11270" max="11270" width="15.7109375" customWidth="1"/>
    <col min="11271" max="11271" width="9.42578125" customWidth="1"/>
    <col min="11272" max="11272" width="9.85546875" customWidth="1"/>
    <col min="11273" max="11273" width="9.28515625" customWidth="1"/>
    <col min="11274" max="11274" width="22.28515625" customWidth="1"/>
    <col min="11275" max="11286" width="9.7109375" customWidth="1"/>
    <col min="11287" max="11287" width="12" customWidth="1"/>
    <col min="11288" max="11288" width="12.42578125" customWidth="1"/>
    <col min="11289" max="11291" width="10.7109375" customWidth="1"/>
    <col min="11292" max="11292" width="10.140625" customWidth="1"/>
    <col min="11293" max="11293" width="8.7109375" customWidth="1"/>
    <col min="11294" max="11294" width="16.140625" customWidth="1"/>
    <col min="11295" max="11295" width="8.7109375" customWidth="1"/>
    <col min="11521" max="11523" width="10.7109375" customWidth="1"/>
    <col min="11524" max="11524" width="9.28515625" customWidth="1"/>
    <col min="11525" max="11525" width="10.85546875" customWidth="1"/>
    <col min="11526" max="11526" width="15.7109375" customWidth="1"/>
    <col min="11527" max="11527" width="9.42578125" customWidth="1"/>
    <col min="11528" max="11528" width="9.85546875" customWidth="1"/>
    <col min="11529" max="11529" width="9.28515625" customWidth="1"/>
    <col min="11530" max="11530" width="22.28515625" customWidth="1"/>
    <col min="11531" max="11542" width="9.7109375" customWidth="1"/>
    <col min="11543" max="11543" width="12" customWidth="1"/>
    <col min="11544" max="11544" width="12.42578125" customWidth="1"/>
    <col min="11545" max="11547" width="10.7109375" customWidth="1"/>
    <col min="11548" max="11548" width="10.140625" customWidth="1"/>
    <col min="11549" max="11549" width="8.7109375" customWidth="1"/>
    <col min="11550" max="11550" width="16.140625" customWidth="1"/>
    <col min="11551" max="11551" width="8.7109375" customWidth="1"/>
    <col min="11777" max="11779" width="10.7109375" customWidth="1"/>
    <col min="11780" max="11780" width="9.28515625" customWidth="1"/>
    <col min="11781" max="11781" width="10.85546875" customWidth="1"/>
    <col min="11782" max="11782" width="15.7109375" customWidth="1"/>
    <col min="11783" max="11783" width="9.42578125" customWidth="1"/>
    <col min="11784" max="11784" width="9.85546875" customWidth="1"/>
    <col min="11785" max="11785" width="9.28515625" customWidth="1"/>
    <col min="11786" max="11786" width="22.28515625" customWidth="1"/>
    <col min="11787" max="11798" width="9.7109375" customWidth="1"/>
    <col min="11799" max="11799" width="12" customWidth="1"/>
    <col min="11800" max="11800" width="12.42578125" customWidth="1"/>
    <col min="11801" max="11803" width="10.7109375" customWidth="1"/>
    <col min="11804" max="11804" width="10.140625" customWidth="1"/>
    <col min="11805" max="11805" width="8.7109375" customWidth="1"/>
    <col min="11806" max="11806" width="16.140625" customWidth="1"/>
    <col min="11807" max="11807" width="8.7109375" customWidth="1"/>
    <col min="12033" max="12035" width="10.7109375" customWidth="1"/>
    <col min="12036" max="12036" width="9.28515625" customWidth="1"/>
    <col min="12037" max="12037" width="10.85546875" customWidth="1"/>
    <col min="12038" max="12038" width="15.7109375" customWidth="1"/>
    <col min="12039" max="12039" width="9.42578125" customWidth="1"/>
    <col min="12040" max="12040" width="9.85546875" customWidth="1"/>
    <col min="12041" max="12041" width="9.28515625" customWidth="1"/>
    <col min="12042" max="12042" width="22.28515625" customWidth="1"/>
    <col min="12043" max="12054" width="9.7109375" customWidth="1"/>
    <col min="12055" max="12055" width="12" customWidth="1"/>
    <col min="12056" max="12056" width="12.42578125" customWidth="1"/>
    <col min="12057" max="12059" width="10.7109375" customWidth="1"/>
    <col min="12060" max="12060" width="10.140625" customWidth="1"/>
    <col min="12061" max="12061" width="8.7109375" customWidth="1"/>
    <col min="12062" max="12062" width="16.140625" customWidth="1"/>
    <col min="12063" max="12063" width="8.7109375" customWidth="1"/>
    <col min="12289" max="12291" width="10.7109375" customWidth="1"/>
    <col min="12292" max="12292" width="9.28515625" customWidth="1"/>
    <col min="12293" max="12293" width="10.85546875" customWidth="1"/>
    <col min="12294" max="12294" width="15.7109375" customWidth="1"/>
    <col min="12295" max="12295" width="9.42578125" customWidth="1"/>
    <col min="12296" max="12296" width="9.85546875" customWidth="1"/>
    <col min="12297" max="12297" width="9.28515625" customWidth="1"/>
    <col min="12298" max="12298" width="22.28515625" customWidth="1"/>
    <col min="12299" max="12310" width="9.7109375" customWidth="1"/>
    <col min="12311" max="12311" width="12" customWidth="1"/>
    <col min="12312" max="12312" width="12.42578125" customWidth="1"/>
    <col min="12313" max="12315" width="10.7109375" customWidth="1"/>
    <col min="12316" max="12316" width="10.140625" customWidth="1"/>
    <col min="12317" max="12317" width="8.7109375" customWidth="1"/>
    <col min="12318" max="12318" width="16.140625" customWidth="1"/>
    <col min="12319" max="12319" width="8.7109375" customWidth="1"/>
    <col min="12545" max="12547" width="10.7109375" customWidth="1"/>
    <col min="12548" max="12548" width="9.28515625" customWidth="1"/>
    <col min="12549" max="12549" width="10.85546875" customWidth="1"/>
    <col min="12550" max="12550" width="15.7109375" customWidth="1"/>
    <col min="12551" max="12551" width="9.42578125" customWidth="1"/>
    <col min="12552" max="12552" width="9.85546875" customWidth="1"/>
    <col min="12553" max="12553" width="9.28515625" customWidth="1"/>
    <col min="12554" max="12554" width="22.28515625" customWidth="1"/>
    <col min="12555" max="12566" width="9.7109375" customWidth="1"/>
    <col min="12567" max="12567" width="12" customWidth="1"/>
    <col min="12568" max="12568" width="12.42578125" customWidth="1"/>
    <col min="12569" max="12571" width="10.7109375" customWidth="1"/>
    <col min="12572" max="12572" width="10.140625" customWidth="1"/>
    <col min="12573" max="12573" width="8.7109375" customWidth="1"/>
    <col min="12574" max="12574" width="16.140625" customWidth="1"/>
    <col min="12575" max="12575" width="8.7109375" customWidth="1"/>
    <col min="12801" max="12803" width="10.7109375" customWidth="1"/>
    <col min="12804" max="12804" width="9.28515625" customWidth="1"/>
    <col min="12805" max="12805" width="10.85546875" customWidth="1"/>
    <col min="12806" max="12806" width="15.7109375" customWidth="1"/>
    <col min="12807" max="12807" width="9.42578125" customWidth="1"/>
    <col min="12808" max="12808" width="9.85546875" customWidth="1"/>
    <col min="12809" max="12809" width="9.28515625" customWidth="1"/>
    <col min="12810" max="12810" width="22.28515625" customWidth="1"/>
    <col min="12811" max="12822" width="9.7109375" customWidth="1"/>
    <col min="12823" max="12823" width="12" customWidth="1"/>
    <col min="12824" max="12824" width="12.42578125" customWidth="1"/>
    <col min="12825" max="12827" width="10.7109375" customWidth="1"/>
    <col min="12828" max="12828" width="10.140625" customWidth="1"/>
    <col min="12829" max="12829" width="8.7109375" customWidth="1"/>
    <col min="12830" max="12830" width="16.140625" customWidth="1"/>
    <col min="12831" max="12831" width="8.7109375" customWidth="1"/>
    <col min="13057" max="13059" width="10.7109375" customWidth="1"/>
    <col min="13060" max="13060" width="9.28515625" customWidth="1"/>
    <col min="13061" max="13061" width="10.85546875" customWidth="1"/>
    <col min="13062" max="13062" width="15.7109375" customWidth="1"/>
    <col min="13063" max="13063" width="9.42578125" customWidth="1"/>
    <col min="13064" max="13064" width="9.85546875" customWidth="1"/>
    <col min="13065" max="13065" width="9.28515625" customWidth="1"/>
    <col min="13066" max="13066" width="22.28515625" customWidth="1"/>
    <col min="13067" max="13078" width="9.7109375" customWidth="1"/>
    <col min="13079" max="13079" width="12" customWidth="1"/>
    <col min="13080" max="13080" width="12.42578125" customWidth="1"/>
    <col min="13081" max="13083" width="10.7109375" customWidth="1"/>
    <col min="13084" max="13084" width="10.140625" customWidth="1"/>
    <col min="13085" max="13085" width="8.7109375" customWidth="1"/>
    <col min="13086" max="13086" width="16.140625" customWidth="1"/>
    <col min="13087" max="13087" width="8.7109375" customWidth="1"/>
    <col min="13313" max="13315" width="10.7109375" customWidth="1"/>
    <col min="13316" max="13316" width="9.28515625" customWidth="1"/>
    <col min="13317" max="13317" width="10.85546875" customWidth="1"/>
    <col min="13318" max="13318" width="15.7109375" customWidth="1"/>
    <col min="13319" max="13319" width="9.42578125" customWidth="1"/>
    <col min="13320" max="13320" width="9.85546875" customWidth="1"/>
    <col min="13321" max="13321" width="9.28515625" customWidth="1"/>
    <col min="13322" max="13322" width="22.28515625" customWidth="1"/>
    <col min="13323" max="13334" width="9.7109375" customWidth="1"/>
    <col min="13335" max="13335" width="12" customWidth="1"/>
    <col min="13336" max="13336" width="12.42578125" customWidth="1"/>
    <col min="13337" max="13339" width="10.7109375" customWidth="1"/>
    <col min="13340" max="13340" width="10.140625" customWidth="1"/>
    <col min="13341" max="13341" width="8.7109375" customWidth="1"/>
    <col min="13342" max="13342" width="16.140625" customWidth="1"/>
    <col min="13343" max="13343" width="8.7109375" customWidth="1"/>
    <col min="13569" max="13571" width="10.7109375" customWidth="1"/>
    <col min="13572" max="13572" width="9.28515625" customWidth="1"/>
    <col min="13573" max="13573" width="10.85546875" customWidth="1"/>
    <col min="13574" max="13574" width="15.7109375" customWidth="1"/>
    <col min="13575" max="13575" width="9.42578125" customWidth="1"/>
    <col min="13576" max="13576" width="9.85546875" customWidth="1"/>
    <col min="13577" max="13577" width="9.28515625" customWidth="1"/>
    <col min="13578" max="13578" width="22.28515625" customWidth="1"/>
    <col min="13579" max="13590" width="9.7109375" customWidth="1"/>
    <col min="13591" max="13591" width="12" customWidth="1"/>
    <col min="13592" max="13592" width="12.42578125" customWidth="1"/>
    <col min="13593" max="13595" width="10.7109375" customWidth="1"/>
    <col min="13596" max="13596" width="10.140625" customWidth="1"/>
    <col min="13597" max="13597" width="8.7109375" customWidth="1"/>
    <col min="13598" max="13598" width="16.140625" customWidth="1"/>
    <col min="13599" max="13599" width="8.7109375" customWidth="1"/>
    <col min="13825" max="13827" width="10.7109375" customWidth="1"/>
    <col min="13828" max="13828" width="9.28515625" customWidth="1"/>
    <col min="13829" max="13829" width="10.85546875" customWidth="1"/>
    <col min="13830" max="13830" width="15.7109375" customWidth="1"/>
    <col min="13831" max="13831" width="9.42578125" customWidth="1"/>
    <col min="13832" max="13832" width="9.85546875" customWidth="1"/>
    <col min="13833" max="13833" width="9.28515625" customWidth="1"/>
    <col min="13834" max="13834" width="22.28515625" customWidth="1"/>
    <col min="13835" max="13846" width="9.7109375" customWidth="1"/>
    <col min="13847" max="13847" width="12" customWidth="1"/>
    <col min="13848" max="13848" width="12.42578125" customWidth="1"/>
    <col min="13849" max="13851" width="10.7109375" customWidth="1"/>
    <col min="13852" max="13852" width="10.140625" customWidth="1"/>
    <col min="13853" max="13853" width="8.7109375" customWidth="1"/>
    <col min="13854" max="13854" width="16.140625" customWidth="1"/>
    <col min="13855" max="13855" width="8.7109375" customWidth="1"/>
    <col min="14081" max="14083" width="10.7109375" customWidth="1"/>
    <col min="14084" max="14084" width="9.28515625" customWidth="1"/>
    <col min="14085" max="14085" width="10.85546875" customWidth="1"/>
    <col min="14086" max="14086" width="15.7109375" customWidth="1"/>
    <col min="14087" max="14087" width="9.42578125" customWidth="1"/>
    <col min="14088" max="14088" width="9.85546875" customWidth="1"/>
    <col min="14089" max="14089" width="9.28515625" customWidth="1"/>
    <col min="14090" max="14090" width="22.28515625" customWidth="1"/>
    <col min="14091" max="14102" width="9.7109375" customWidth="1"/>
    <col min="14103" max="14103" width="12" customWidth="1"/>
    <col min="14104" max="14104" width="12.42578125" customWidth="1"/>
    <col min="14105" max="14107" width="10.7109375" customWidth="1"/>
    <col min="14108" max="14108" width="10.140625" customWidth="1"/>
    <col min="14109" max="14109" width="8.7109375" customWidth="1"/>
    <col min="14110" max="14110" width="16.140625" customWidth="1"/>
    <col min="14111" max="14111" width="8.7109375" customWidth="1"/>
    <col min="14337" max="14339" width="10.7109375" customWidth="1"/>
    <col min="14340" max="14340" width="9.28515625" customWidth="1"/>
    <col min="14341" max="14341" width="10.85546875" customWidth="1"/>
    <col min="14342" max="14342" width="15.7109375" customWidth="1"/>
    <col min="14343" max="14343" width="9.42578125" customWidth="1"/>
    <col min="14344" max="14344" width="9.85546875" customWidth="1"/>
    <col min="14345" max="14345" width="9.28515625" customWidth="1"/>
    <col min="14346" max="14346" width="22.28515625" customWidth="1"/>
    <col min="14347" max="14358" width="9.7109375" customWidth="1"/>
    <col min="14359" max="14359" width="12" customWidth="1"/>
    <col min="14360" max="14360" width="12.42578125" customWidth="1"/>
    <col min="14361" max="14363" width="10.7109375" customWidth="1"/>
    <col min="14364" max="14364" width="10.140625" customWidth="1"/>
    <col min="14365" max="14365" width="8.7109375" customWidth="1"/>
    <col min="14366" max="14366" width="16.140625" customWidth="1"/>
    <col min="14367" max="14367" width="8.7109375" customWidth="1"/>
    <col min="14593" max="14595" width="10.7109375" customWidth="1"/>
    <col min="14596" max="14596" width="9.28515625" customWidth="1"/>
    <col min="14597" max="14597" width="10.85546875" customWidth="1"/>
    <col min="14598" max="14598" width="15.7109375" customWidth="1"/>
    <col min="14599" max="14599" width="9.42578125" customWidth="1"/>
    <col min="14600" max="14600" width="9.85546875" customWidth="1"/>
    <col min="14601" max="14601" width="9.28515625" customWidth="1"/>
    <col min="14602" max="14602" width="22.28515625" customWidth="1"/>
    <col min="14603" max="14614" width="9.7109375" customWidth="1"/>
    <col min="14615" max="14615" width="12" customWidth="1"/>
    <col min="14616" max="14616" width="12.42578125" customWidth="1"/>
    <col min="14617" max="14619" width="10.7109375" customWidth="1"/>
    <col min="14620" max="14620" width="10.140625" customWidth="1"/>
    <col min="14621" max="14621" width="8.7109375" customWidth="1"/>
    <col min="14622" max="14622" width="16.140625" customWidth="1"/>
    <col min="14623" max="14623" width="8.7109375" customWidth="1"/>
    <col min="14849" max="14851" width="10.7109375" customWidth="1"/>
    <col min="14852" max="14852" width="9.28515625" customWidth="1"/>
    <col min="14853" max="14853" width="10.85546875" customWidth="1"/>
    <col min="14854" max="14854" width="15.7109375" customWidth="1"/>
    <col min="14855" max="14855" width="9.42578125" customWidth="1"/>
    <col min="14856" max="14856" width="9.85546875" customWidth="1"/>
    <col min="14857" max="14857" width="9.28515625" customWidth="1"/>
    <col min="14858" max="14858" width="22.28515625" customWidth="1"/>
    <col min="14859" max="14870" width="9.7109375" customWidth="1"/>
    <col min="14871" max="14871" width="12" customWidth="1"/>
    <col min="14872" max="14872" width="12.42578125" customWidth="1"/>
    <col min="14873" max="14875" width="10.7109375" customWidth="1"/>
    <col min="14876" max="14876" width="10.140625" customWidth="1"/>
    <col min="14877" max="14877" width="8.7109375" customWidth="1"/>
    <col min="14878" max="14878" width="16.140625" customWidth="1"/>
    <col min="14879" max="14879" width="8.7109375" customWidth="1"/>
    <col min="15105" max="15107" width="10.7109375" customWidth="1"/>
    <col min="15108" max="15108" width="9.28515625" customWidth="1"/>
    <col min="15109" max="15109" width="10.85546875" customWidth="1"/>
    <col min="15110" max="15110" width="15.7109375" customWidth="1"/>
    <col min="15111" max="15111" width="9.42578125" customWidth="1"/>
    <col min="15112" max="15112" width="9.85546875" customWidth="1"/>
    <col min="15113" max="15113" width="9.28515625" customWidth="1"/>
    <col min="15114" max="15114" width="22.28515625" customWidth="1"/>
    <col min="15115" max="15126" width="9.7109375" customWidth="1"/>
    <col min="15127" max="15127" width="12" customWidth="1"/>
    <col min="15128" max="15128" width="12.42578125" customWidth="1"/>
    <col min="15129" max="15131" width="10.7109375" customWidth="1"/>
    <col min="15132" max="15132" width="10.140625" customWidth="1"/>
    <col min="15133" max="15133" width="8.7109375" customWidth="1"/>
    <col min="15134" max="15134" width="16.140625" customWidth="1"/>
    <col min="15135" max="15135" width="8.7109375" customWidth="1"/>
    <col min="15361" max="15363" width="10.7109375" customWidth="1"/>
    <col min="15364" max="15364" width="9.28515625" customWidth="1"/>
    <col min="15365" max="15365" width="10.85546875" customWidth="1"/>
    <col min="15366" max="15366" width="15.7109375" customWidth="1"/>
    <col min="15367" max="15367" width="9.42578125" customWidth="1"/>
    <col min="15368" max="15368" width="9.85546875" customWidth="1"/>
    <col min="15369" max="15369" width="9.28515625" customWidth="1"/>
    <col min="15370" max="15370" width="22.28515625" customWidth="1"/>
    <col min="15371" max="15382" width="9.7109375" customWidth="1"/>
    <col min="15383" max="15383" width="12" customWidth="1"/>
    <col min="15384" max="15384" width="12.42578125" customWidth="1"/>
    <col min="15385" max="15387" width="10.7109375" customWidth="1"/>
    <col min="15388" max="15388" width="10.140625" customWidth="1"/>
    <col min="15389" max="15389" width="8.7109375" customWidth="1"/>
    <col min="15390" max="15390" width="16.140625" customWidth="1"/>
    <col min="15391" max="15391" width="8.7109375" customWidth="1"/>
    <col min="15617" max="15619" width="10.7109375" customWidth="1"/>
    <col min="15620" max="15620" width="9.28515625" customWidth="1"/>
    <col min="15621" max="15621" width="10.85546875" customWidth="1"/>
    <col min="15622" max="15622" width="15.7109375" customWidth="1"/>
    <col min="15623" max="15623" width="9.42578125" customWidth="1"/>
    <col min="15624" max="15624" width="9.85546875" customWidth="1"/>
    <col min="15625" max="15625" width="9.28515625" customWidth="1"/>
    <col min="15626" max="15626" width="22.28515625" customWidth="1"/>
    <col min="15627" max="15638" width="9.7109375" customWidth="1"/>
    <col min="15639" max="15639" width="12" customWidth="1"/>
    <col min="15640" max="15640" width="12.42578125" customWidth="1"/>
    <col min="15641" max="15643" width="10.7109375" customWidth="1"/>
    <col min="15644" max="15644" width="10.140625" customWidth="1"/>
    <col min="15645" max="15645" width="8.7109375" customWidth="1"/>
    <col min="15646" max="15646" width="16.140625" customWidth="1"/>
    <col min="15647" max="15647" width="8.7109375" customWidth="1"/>
    <col min="15873" max="15875" width="10.7109375" customWidth="1"/>
    <col min="15876" max="15876" width="9.28515625" customWidth="1"/>
    <col min="15877" max="15877" width="10.85546875" customWidth="1"/>
    <col min="15878" max="15878" width="15.7109375" customWidth="1"/>
    <col min="15879" max="15879" width="9.42578125" customWidth="1"/>
    <col min="15880" max="15880" width="9.85546875" customWidth="1"/>
    <col min="15881" max="15881" width="9.28515625" customWidth="1"/>
    <col min="15882" max="15882" width="22.28515625" customWidth="1"/>
    <col min="15883" max="15894" width="9.7109375" customWidth="1"/>
    <col min="15895" max="15895" width="12" customWidth="1"/>
    <col min="15896" max="15896" width="12.42578125" customWidth="1"/>
    <col min="15897" max="15899" width="10.7109375" customWidth="1"/>
    <col min="15900" max="15900" width="10.140625" customWidth="1"/>
    <col min="15901" max="15901" width="8.7109375" customWidth="1"/>
    <col min="15902" max="15902" width="16.140625" customWidth="1"/>
    <col min="15903" max="15903" width="8.7109375" customWidth="1"/>
    <col min="16129" max="16131" width="10.7109375" customWidth="1"/>
    <col min="16132" max="16132" width="9.28515625" customWidth="1"/>
    <col min="16133" max="16133" width="10.85546875" customWidth="1"/>
    <col min="16134" max="16134" width="15.7109375" customWidth="1"/>
    <col min="16135" max="16135" width="9.42578125" customWidth="1"/>
    <col min="16136" max="16136" width="9.85546875" customWidth="1"/>
    <col min="16137" max="16137" width="9.28515625" customWidth="1"/>
    <col min="16138" max="16138" width="22.28515625" customWidth="1"/>
    <col min="16139" max="16150" width="9.7109375" customWidth="1"/>
    <col min="16151" max="16151" width="12" customWidth="1"/>
    <col min="16152" max="16152" width="12.42578125" customWidth="1"/>
    <col min="16153" max="16155" width="10.7109375" customWidth="1"/>
    <col min="16156" max="16156" width="10.140625" customWidth="1"/>
    <col min="16157" max="16157" width="8.7109375" customWidth="1"/>
    <col min="16158" max="16158" width="16.140625" customWidth="1"/>
    <col min="16159" max="16159" width="8.7109375" customWidth="1"/>
  </cols>
  <sheetData>
    <row r="1" spans="1:32" s="192" customFormat="1" ht="43.9" customHeight="1" thickBot="1">
      <c r="A1" s="177" t="s">
        <v>0</v>
      </c>
      <c r="B1" s="178" t="s">
        <v>1915</v>
      </c>
      <c r="C1" s="179" t="s">
        <v>1916</v>
      </c>
      <c r="D1" s="180" t="s">
        <v>1917</v>
      </c>
      <c r="E1" s="181" t="s">
        <v>1918</v>
      </c>
      <c r="F1" s="178" t="s">
        <v>1</v>
      </c>
      <c r="G1" s="182" t="s">
        <v>1919</v>
      </c>
      <c r="H1" s="183" t="s">
        <v>1920</v>
      </c>
      <c r="I1" s="184" t="s">
        <v>1921</v>
      </c>
      <c r="J1" s="177" t="s">
        <v>2</v>
      </c>
      <c r="K1" s="178" t="s">
        <v>1922</v>
      </c>
      <c r="L1" s="178" t="s">
        <v>1012</v>
      </c>
      <c r="M1" s="185" t="s">
        <v>1923</v>
      </c>
      <c r="N1" s="178" t="s">
        <v>377</v>
      </c>
      <c r="O1" s="178" t="s">
        <v>1923</v>
      </c>
      <c r="P1" s="179" t="s">
        <v>1922</v>
      </c>
      <c r="Q1" s="177" t="s">
        <v>1922</v>
      </c>
      <c r="R1" s="185" t="s">
        <v>377</v>
      </c>
      <c r="S1" s="178" t="s">
        <v>1924</v>
      </c>
      <c r="T1" s="178" t="s">
        <v>1925</v>
      </c>
      <c r="U1" s="186" t="s">
        <v>1926</v>
      </c>
      <c r="V1" s="179" t="s">
        <v>997</v>
      </c>
      <c r="W1" s="187" t="s">
        <v>3</v>
      </c>
      <c r="X1" s="188" t="s">
        <v>4</v>
      </c>
      <c r="Y1" s="189" t="s">
        <v>1927</v>
      </c>
      <c r="Z1" s="190" t="s">
        <v>1928</v>
      </c>
      <c r="AA1" s="191" t="s">
        <v>1929</v>
      </c>
      <c r="AB1" s="192" t="s">
        <v>1930</v>
      </c>
    </row>
    <row r="2" spans="1:32" ht="16.5" hidden="1" customHeight="1">
      <c r="A2" s="193">
        <v>1</v>
      </c>
      <c r="B2" s="194" t="s">
        <v>5</v>
      </c>
      <c r="C2" s="195" t="s">
        <v>1931</v>
      </c>
      <c r="D2" s="196"/>
      <c r="E2" s="197" t="s">
        <v>6</v>
      </c>
      <c r="F2" s="195" t="s">
        <v>7</v>
      </c>
      <c r="G2" s="198"/>
      <c r="H2" s="196"/>
      <c r="I2" s="199"/>
      <c r="J2" s="200" t="s">
        <v>8</v>
      </c>
      <c r="K2" s="201"/>
      <c r="L2" s="201"/>
      <c r="M2" s="201"/>
      <c r="N2" s="201"/>
      <c r="O2" s="202"/>
      <c r="P2" s="202"/>
      <c r="Q2" s="202"/>
      <c r="R2" s="202"/>
      <c r="S2" s="202"/>
      <c r="T2" s="202"/>
      <c r="U2" s="202"/>
      <c r="V2" s="203"/>
      <c r="W2" s="204">
        <f t="shared" ref="W2:W7" si="0">SUM(K2:V2)</f>
        <v>0</v>
      </c>
      <c r="X2" s="205">
        <f>SUM(K2:V2)</f>
        <v>0</v>
      </c>
      <c r="Y2" s="206" t="s">
        <v>1932</v>
      </c>
      <c r="Z2" s="197"/>
      <c r="AA2" s="207" t="s">
        <v>1933</v>
      </c>
      <c r="AB2">
        <v>1</v>
      </c>
      <c r="AC2" s="208"/>
    </row>
    <row r="3" spans="1:32" ht="15.75" hidden="1" customHeight="1">
      <c r="A3" s="209">
        <v>2</v>
      </c>
      <c r="B3" s="210" t="s">
        <v>5</v>
      </c>
      <c r="C3" s="1" t="s">
        <v>1931</v>
      </c>
      <c r="D3" s="1"/>
      <c r="E3" s="211" t="s">
        <v>6</v>
      </c>
      <c r="F3" s="1" t="s">
        <v>7</v>
      </c>
      <c r="G3" s="212"/>
      <c r="H3" s="1"/>
      <c r="I3" s="211"/>
      <c r="J3" s="213" t="s">
        <v>9</v>
      </c>
      <c r="K3" s="214"/>
      <c r="L3" s="214"/>
      <c r="M3" s="214"/>
      <c r="N3" s="214"/>
      <c r="O3" s="215"/>
      <c r="P3" s="215"/>
      <c r="Q3" s="214"/>
      <c r="R3" s="214"/>
      <c r="S3" s="215"/>
      <c r="T3" s="215"/>
      <c r="U3" s="215"/>
      <c r="V3" s="216"/>
      <c r="W3" s="217">
        <f t="shared" si="0"/>
        <v>0</v>
      </c>
      <c r="X3" s="205">
        <f t="shared" ref="X3:X9" si="1">SUM(K3:V3)</f>
        <v>0</v>
      </c>
      <c r="Y3" s="1" t="s">
        <v>1932</v>
      </c>
      <c r="Z3" s="211"/>
      <c r="AA3" s="218" t="s">
        <v>1933</v>
      </c>
      <c r="AB3">
        <v>1</v>
      </c>
    </row>
    <row r="4" spans="1:32" ht="15.75" hidden="1" customHeight="1">
      <c r="A4" s="209">
        <v>3</v>
      </c>
      <c r="B4" s="210" t="s">
        <v>5</v>
      </c>
      <c r="C4" s="1" t="s">
        <v>1931</v>
      </c>
      <c r="D4" s="1"/>
      <c r="E4" s="211" t="s">
        <v>6</v>
      </c>
      <c r="F4" s="1" t="s">
        <v>7</v>
      </c>
      <c r="G4" s="212"/>
      <c r="H4" s="1"/>
      <c r="I4" s="211"/>
      <c r="J4" s="213" t="s">
        <v>10</v>
      </c>
      <c r="K4" s="214"/>
      <c r="L4" s="214"/>
      <c r="M4" s="214"/>
      <c r="N4" s="214"/>
      <c r="O4" s="215"/>
      <c r="P4" s="215"/>
      <c r="Q4" s="215"/>
      <c r="R4" s="215"/>
      <c r="S4" s="215"/>
      <c r="T4" s="215"/>
      <c r="U4" s="215"/>
      <c r="V4" s="216"/>
      <c r="W4" s="217">
        <f t="shared" si="0"/>
        <v>0</v>
      </c>
      <c r="X4" s="205">
        <f t="shared" si="1"/>
        <v>0</v>
      </c>
      <c r="Y4" s="1" t="s">
        <v>1932</v>
      </c>
      <c r="Z4" s="211"/>
      <c r="AA4" s="218" t="s">
        <v>1933</v>
      </c>
      <c r="AB4">
        <v>1</v>
      </c>
    </row>
    <row r="5" spans="1:32" ht="16.5" hidden="1" customHeight="1">
      <c r="A5" s="209">
        <v>4</v>
      </c>
      <c r="B5" s="210" t="s">
        <v>5</v>
      </c>
      <c r="C5" s="1" t="s">
        <v>1931</v>
      </c>
      <c r="D5" s="1"/>
      <c r="E5" s="211" t="s">
        <v>6</v>
      </c>
      <c r="F5" s="1" t="s">
        <v>7</v>
      </c>
      <c r="G5" s="212"/>
      <c r="H5" s="1"/>
      <c r="I5" s="211"/>
      <c r="J5" s="213" t="s">
        <v>11</v>
      </c>
      <c r="K5" s="214"/>
      <c r="L5" s="214"/>
      <c r="M5" s="214"/>
      <c r="N5" s="214"/>
      <c r="O5" s="215"/>
      <c r="P5" s="215"/>
      <c r="Q5" s="215"/>
      <c r="R5" s="215"/>
      <c r="S5" s="215"/>
      <c r="T5" s="215"/>
      <c r="U5" s="215"/>
      <c r="V5" s="216"/>
      <c r="W5" s="217">
        <f t="shared" si="0"/>
        <v>0</v>
      </c>
      <c r="X5" s="205">
        <f t="shared" si="1"/>
        <v>0</v>
      </c>
      <c r="Y5" s="1" t="s">
        <v>1932</v>
      </c>
      <c r="Z5" s="211"/>
      <c r="AA5" s="218" t="s">
        <v>1933</v>
      </c>
      <c r="AB5">
        <v>1</v>
      </c>
      <c r="AC5" s="208"/>
    </row>
    <row r="6" spans="1:32" ht="16.5" hidden="1" customHeight="1">
      <c r="A6" s="193">
        <v>5</v>
      </c>
      <c r="B6" s="210" t="s">
        <v>5</v>
      </c>
      <c r="C6" s="1" t="s">
        <v>1931</v>
      </c>
      <c r="D6" s="1"/>
      <c r="E6" s="211" t="s">
        <v>6</v>
      </c>
      <c r="F6" s="1" t="s">
        <v>7</v>
      </c>
      <c r="G6" s="212"/>
      <c r="H6" s="1"/>
      <c r="I6" s="211"/>
      <c r="J6" s="213" t="s">
        <v>12</v>
      </c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5"/>
      <c r="V6" s="216"/>
      <c r="W6" s="217">
        <f t="shared" si="0"/>
        <v>0</v>
      </c>
      <c r="X6" s="205">
        <f t="shared" si="1"/>
        <v>0</v>
      </c>
      <c r="Y6" s="1" t="s">
        <v>1932</v>
      </c>
      <c r="Z6" s="211"/>
      <c r="AA6" s="218" t="s">
        <v>1933</v>
      </c>
      <c r="AB6">
        <v>1</v>
      </c>
      <c r="AC6" s="208"/>
    </row>
    <row r="7" spans="1:32" ht="15.75" hidden="1" customHeight="1">
      <c r="A7" s="209">
        <v>6</v>
      </c>
      <c r="B7" s="210" t="s">
        <v>5</v>
      </c>
      <c r="C7" s="1" t="s">
        <v>1931</v>
      </c>
      <c r="D7" s="1"/>
      <c r="E7" s="211" t="s">
        <v>6</v>
      </c>
      <c r="F7" s="1" t="s">
        <v>7</v>
      </c>
      <c r="G7" s="212"/>
      <c r="H7" s="1"/>
      <c r="I7" s="211"/>
      <c r="J7" s="219" t="s">
        <v>13</v>
      </c>
      <c r="K7" s="220"/>
      <c r="L7" s="220"/>
      <c r="M7" s="221"/>
      <c r="N7" s="221"/>
      <c r="O7" s="221"/>
      <c r="P7" s="221"/>
      <c r="Q7" s="221"/>
      <c r="R7" s="221"/>
      <c r="S7" s="221"/>
      <c r="T7" s="221"/>
      <c r="U7" s="221"/>
      <c r="V7" s="222"/>
      <c r="W7" s="223">
        <f t="shared" si="0"/>
        <v>0</v>
      </c>
      <c r="X7" s="205">
        <f t="shared" si="1"/>
        <v>0</v>
      </c>
      <c r="Y7" s="1" t="s">
        <v>1932</v>
      </c>
      <c r="Z7" s="211"/>
      <c r="AA7" s="218" t="s">
        <v>1933</v>
      </c>
      <c r="AB7">
        <v>1</v>
      </c>
    </row>
    <row r="8" spans="1:32" ht="15.75" hidden="1" customHeight="1">
      <c r="A8" s="209">
        <v>7</v>
      </c>
      <c r="B8" s="210" t="s">
        <v>5</v>
      </c>
      <c r="C8" s="1" t="s">
        <v>1931</v>
      </c>
      <c r="D8" s="1"/>
      <c r="E8" s="211" t="s">
        <v>6</v>
      </c>
      <c r="F8" s="1" t="s">
        <v>7</v>
      </c>
      <c r="G8" s="212"/>
      <c r="H8" s="1"/>
      <c r="I8" s="211"/>
      <c r="J8" s="213" t="s">
        <v>14</v>
      </c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24"/>
      <c r="W8" s="225">
        <f>W5-W6+W7</f>
        <v>0</v>
      </c>
      <c r="X8" s="205">
        <f t="shared" si="1"/>
        <v>0</v>
      </c>
      <c r="Y8" s="1" t="s">
        <v>1932</v>
      </c>
      <c r="Z8" s="211"/>
      <c r="AA8" s="218" t="s">
        <v>1933</v>
      </c>
      <c r="AB8">
        <v>1</v>
      </c>
    </row>
    <row r="9" spans="1:32" ht="15.75" hidden="1" customHeight="1">
      <c r="A9" s="209">
        <v>8</v>
      </c>
      <c r="B9" s="210" t="s">
        <v>5</v>
      </c>
      <c r="C9" s="1" t="s">
        <v>1931</v>
      </c>
      <c r="D9" s="1"/>
      <c r="E9" s="211" t="s">
        <v>6</v>
      </c>
      <c r="F9" s="1" t="s">
        <v>7</v>
      </c>
      <c r="G9" s="212"/>
      <c r="H9" s="1"/>
      <c r="I9" s="211"/>
      <c r="J9" s="213" t="s">
        <v>15</v>
      </c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26"/>
      <c r="W9" s="227">
        <f>IF(W4=0,0,IF(W3=0,0,W4/W3))</f>
        <v>0</v>
      </c>
      <c r="X9" s="205">
        <f t="shared" si="1"/>
        <v>0</v>
      </c>
      <c r="Y9" s="1" t="s">
        <v>1932</v>
      </c>
      <c r="Z9" s="211"/>
      <c r="AA9" s="218" t="s">
        <v>1933</v>
      </c>
      <c r="AB9">
        <v>2</v>
      </c>
      <c r="AD9" t="s">
        <v>1934</v>
      </c>
      <c r="AE9" s="228" t="e">
        <f>X5/X4</f>
        <v>#DIV/0!</v>
      </c>
    </row>
    <row r="10" spans="1:32" ht="15.75" hidden="1" customHeight="1" thickBot="1">
      <c r="A10" s="229">
        <v>9</v>
      </c>
      <c r="B10" s="230" t="s">
        <v>5</v>
      </c>
      <c r="C10" s="231" t="s">
        <v>1931</v>
      </c>
      <c r="D10" s="231"/>
      <c r="E10" s="2" t="s">
        <v>6</v>
      </c>
      <c r="F10" s="231" t="s">
        <v>7</v>
      </c>
      <c r="G10" s="3"/>
      <c r="H10" s="231"/>
      <c r="I10" s="2"/>
      <c r="J10" s="232" t="s">
        <v>16</v>
      </c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>
        <f>IF(W8=0,0,IF(W4=0,0,W8/W4))</f>
        <v>0</v>
      </c>
      <c r="X10" s="233">
        <f>IF(X8=0,0,IF(X4=0,0,X8/X4))</f>
        <v>0</v>
      </c>
      <c r="Y10" s="1" t="s">
        <v>1932</v>
      </c>
      <c r="Z10" s="234"/>
      <c r="AA10" s="235" t="s">
        <v>1933</v>
      </c>
      <c r="AB10">
        <v>2</v>
      </c>
      <c r="AD10" t="s">
        <v>1935</v>
      </c>
      <c r="AE10" s="228" t="e">
        <f>X10-AE9</f>
        <v>#DIV/0!</v>
      </c>
    </row>
    <row r="11" spans="1:32" ht="14.45" hidden="1" customHeight="1">
      <c r="A11" s="236">
        <v>10</v>
      </c>
      <c r="B11" s="237" t="s">
        <v>5</v>
      </c>
      <c r="C11" s="196" t="s">
        <v>1931</v>
      </c>
      <c r="D11" s="196"/>
      <c r="E11" s="199" t="s">
        <v>1936</v>
      </c>
      <c r="F11" s="196" t="s">
        <v>1937</v>
      </c>
      <c r="G11" s="198"/>
      <c r="H11" s="196"/>
      <c r="I11" s="199"/>
      <c r="J11" s="238" t="s">
        <v>8</v>
      </c>
      <c r="K11" s="239">
        <v>0</v>
      </c>
      <c r="L11" s="239">
        <v>0</v>
      </c>
      <c r="M11" s="239">
        <v>1</v>
      </c>
      <c r="N11" s="239">
        <v>10</v>
      </c>
      <c r="O11" s="240">
        <v>6</v>
      </c>
      <c r="P11" s="240">
        <v>0</v>
      </c>
      <c r="Q11" s="240">
        <v>0</v>
      </c>
      <c r="R11" s="240">
        <v>0</v>
      </c>
      <c r="S11" s="240">
        <v>0</v>
      </c>
      <c r="T11" s="240">
        <v>0</v>
      </c>
      <c r="U11" s="241"/>
      <c r="V11" s="242"/>
      <c r="W11" s="243">
        <f t="shared" ref="W11:W16" si="2">SUM(K11:V11)</f>
        <v>17</v>
      </c>
      <c r="X11" s="205">
        <f>SUM(K11:V11)</f>
        <v>17</v>
      </c>
      <c r="Y11" s="212" t="s">
        <v>1932</v>
      </c>
      <c r="Z11" s="199"/>
      <c r="AA11" s="244" t="s">
        <v>1933</v>
      </c>
      <c r="AB11">
        <v>1</v>
      </c>
      <c r="AF11" t="e">
        <f>AE10/AE9</f>
        <v>#DIV/0!</v>
      </c>
    </row>
    <row r="12" spans="1:32" ht="15.75" hidden="1" customHeight="1">
      <c r="A12" s="209">
        <v>11</v>
      </c>
      <c r="B12" s="210" t="s">
        <v>5</v>
      </c>
      <c r="C12" s="1" t="s">
        <v>1931</v>
      </c>
      <c r="D12" s="1"/>
      <c r="E12" s="211" t="s">
        <v>1936</v>
      </c>
      <c r="F12" s="1" t="s">
        <v>1937</v>
      </c>
      <c r="G12" s="212"/>
      <c r="H12" s="1"/>
      <c r="I12" s="211"/>
      <c r="J12" s="213" t="s">
        <v>9</v>
      </c>
      <c r="K12" s="214">
        <v>29</v>
      </c>
      <c r="L12" s="214">
        <v>25</v>
      </c>
      <c r="M12" s="214">
        <v>24</v>
      </c>
      <c r="N12" s="214">
        <v>20</v>
      </c>
      <c r="O12" s="215">
        <v>14</v>
      </c>
      <c r="P12" s="215">
        <v>17</v>
      </c>
      <c r="Q12" s="215">
        <v>43</v>
      </c>
      <c r="R12" s="215">
        <v>33</v>
      </c>
      <c r="S12" s="215">
        <v>17</v>
      </c>
      <c r="T12" s="215">
        <v>22</v>
      </c>
      <c r="U12" s="245"/>
      <c r="V12" s="216"/>
      <c r="W12" s="217">
        <f t="shared" si="2"/>
        <v>244</v>
      </c>
      <c r="X12" s="205">
        <f t="shared" ref="X12:X18" si="3">SUM(K12:V12)</f>
        <v>244</v>
      </c>
      <c r="Y12" s="212" t="s">
        <v>1932</v>
      </c>
      <c r="Z12" s="211"/>
      <c r="AA12" s="218" t="s">
        <v>1933</v>
      </c>
      <c r="AB12">
        <v>1</v>
      </c>
    </row>
    <row r="13" spans="1:32" ht="15.75" hidden="1" customHeight="1">
      <c r="A13" s="209">
        <v>12</v>
      </c>
      <c r="B13" s="210" t="s">
        <v>5</v>
      </c>
      <c r="C13" s="1" t="s">
        <v>1931</v>
      </c>
      <c r="D13" s="1"/>
      <c r="E13" s="211" t="s">
        <v>1936</v>
      </c>
      <c r="F13" s="1" t="s">
        <v>1937</v>
      </c>
      <c r="G13" s="212"/>
      <c r="H13" s="1"/>
      <c r="I13" s="211"/>
      <c r="J13" s="213" t="s">
        <v>10</v>
      </c>
      <c r="K13" s="214">
        <v>31006.400000000001</v>
      </c>
      <c r="L13" s="214">
        <v>28035.3</v>
      </c>
      <c r="M13" s="214">
        <v>26978.6</v>
      </c>
      <c r="N13" s="215">
        <v>19597</v>
      </c>
      <c r="O13" s="215">
        <v>15409</v>
      </c>
      <c r="P13" s="215">
        <v>17868</v>
      </c>
      <c r="Q13" s="215">
        <v>42831</v>
      </c>
      <c r="R13" s="215">
        <v>35784</v>
      </c>
      <c r="S13" s="215">
        <v>17738</v>
      </c>
      <c r="T13" s="215">
        <v>22533</v>
      </c>
      <c r="U13" s="245"/>
      <c r="V13" s="216"/>
      <c r="W13" s="217">
        <f t="shared" si="2"/>
        <v>257780.3</v>
      </c>
      <c r="X13" s="205">
        <f t="shared" si="3"/>
        <v>257780.3</v>
      </c>
      <c r="Y13" s="212" t="s">
        <v>1932</v>
      </c>
      <c r="Z13" s="211"/>
      <c r="AA13" s="218" t="s">
        <v>1933</v>
      </c>
      <c r="AB13">
        <v>1</v>
      </c>
    </row>
    <row r="14" spans="1:32" ht="15.75" hidden="1" customHeight="1">
      <c r="A14" s="193">
        <v>13</v>
      </c>
      <c r="B14" s="210" t="s">
        <v>5</v>
      </c>
      <c r="C14" s="1" t="s">
        <v>1931</v>
      </c>
      <c r="D14" s="1"/>
      <c r="E14" s="211" t="s">
        <v>1936</v>
      </c>
      <c r="F14" s="1" t="s">
        <v>1937</v>
      </c>
      <c r="G14" s="212"/>
      <c r="H14" s="1"/>
      <c r="I14" s="211"/>
      <c r="J14" s="213" t="s">
        <v>11</v>
      </c>
      <c r="K14" s="214">
        <v>657160</v>
      </c>
      <c r="L14" s="214">
        <v>590823</v>
      </c>
      <c r="M14" s="214">
        <v>582386</v>
      </c>
      <c r="N14" s="215">
        <v>385930</v>
      </c>
      <c r="O14" s="215">
        <v>270804</v>
      </c>
      <c r="P14" s="215">
        <v>176174</v>
      </c>
      <c r="Q14" s="215">
        <v>592252</v>
      </c>
      <c r="R14" s="215">
        <v>487698</v>
      </c>
      <c r="S14" s="215">
        <v>240710</v>
      </c>
      <c r="T14" s="215">
        <v>439035</v>
      </c>
      <c r="U14" s="245"/>
      <c r="V14" s="216"/>
      <c r="W14" s="217">
        <f t="shared" si="2"/>
        <v>4422972</v>
      </c>
      <c r="X14" s="205">
        <f t="shared" si="3"/>
        <v>4422972</v>
      </c>
      <c r="Y14" s="212" t="s">
        <v>1932</v>
      </c>
      <c r="Z14" s="211"/>
      <c r="AA14" s="218" t="s">
        <v>1933</v>
      </c>
      <c r="AB14">
        <v>1</v>
      </c>
    </row>
    <row r="15" spans="1:32" ht="15.75" hidden="1" customHeight="1">
      <c r="A15" s="209">
        <v>14</v>
      </c>
      <c r="B15" s="210" t="s">
        <v>5</v>
      </c>
      <c r="C15" s="1" t="s">
        <v>1931</v>
      </c>
      <c r="D15" s="1"/>
      <c r="E15" s="211" t="s">
        <v>1936</v>
      </c>
      <c r="F15" s="1" t="s">
        <v>1937</v>
      </c>
      <c r="G15" s="212"/>
      <c r="H15" s="1"/>
      <c r="I15" s="211"/>
      <c r="J15" s="213" t="s">
        <v>1938</v>
      </c>
      <c r="K15" s="246">
        <v>16292</v>
      </c>
      <c r="L15" s="246">
        <v>0</v>
      </c>
      <c r="M15" s="246">
        <v>0</v>
      </c>
      <c r="N15" s="214">
        <v>0</v>
      </c>
      <c r="O15" s="214">
        <v>0</v>
      </c>
      <c r="P15" s="214">
        <v>0</v>
      </c>
      <c r="Q15" s="214">
        <v>0</v>
      </c>
      <c r="R15" s="214">
        <v>0</v>
      </c>
      <c r="S15" s="215">
        <v>0</v>
      </c>
      <c r="T15" s="215">
        <v>0</v>
      </c>
      <c r="U15" s="245"/>
      <c r="V15" s="216"/>
      <c r="W15" s="217">
        <f t="shared" si="2"/>
        <v>16292</v>
      </c>
      <c r="X15" s="205">
        <f t="shared" si="3"/>
        <v>16292</v>
      </c>
      <c r="Y15" s="212" t="s">
        <v>1932</v>
      </c>
      <c r="Z15" s="211"/>
      <c r="AA15" s="218" t="s">
        <v>1933</v>
      </c>
      <c r="AB15">
        <v>1</v>
      </c>
    </row>
    <row r="16" spans="1:32" ht="15.75" hidden="1" customHeight="1">
      <c r="A16" s="209">
        <v>15</v>
      </c>
      <c r="B16" s="210" t="s">
        <v>5</v>
      </c>
      <c r="C16" s="1" t="s">
        <v>1931</v>
      </c>
      <c r="D16" s="1"/>
      <c r="E16" s="211" t="s">
        <v>1936</v>
      </c>
      <c r="F16" s="1" t="s">
        <v>1937</v>
      </c>
      <c r="G16" s="212"/>
      <c r="H16" s="1"/>
      <c r="I16" s="211"/>
      <c r="J16" s="219" t="s">
        <v>13</v>
      </c>
      <c r="K16" s="221">
        <v>153265</v>
      </c>
      <c r="L16" s="221">
        <v>80891</v>
      </c>
      <c r="M16" s="221">
        <v>70889</v>
      </c>
      <c r="N16" s="221">
        <v>0</v>
      </c>
      <c r="O16" s="221">
        <v>72821</v>
      </c>
      <c r="P16" s="221">
        <v>0</v>
      </c>
      <c r="Q16" s="221">
        <v>5176</v>
      </c>
      <c r="R16" s="221">
        <v>25880</v>
      </c>
      <c r="S16" s="221">
        <v>5176</v>
      </c>
      <c r="T16" s="221">
        <v>124183</v>
      </c>
      <c r="U16" s="247"/>
      <c r="V16" s="222"/>
      <c r="W16" s="223">
        <f t="shared" si="2"/>
        <v>538281</v>
      </c>
      <c r="X16" s="205">
        <f t="shared" si="3"/>
        <v>538281</v>
      </c>
      <c r="Y16" s="212" t="s">
        <v>1932</v>
      </c>
      <c r="Z16" s="211"/>
      <c r="AA16" s="218" t="s">
        <v>1933</v>
      </c>
      <c r="AB16">
        <v>1</v>
      </c>
    </row>
    <row r="17" spans="1:35" ht="15.75" hidden="1" customHeight="1">
      <c r="A17" s="209">
        <v>16</v>
      </c>
      <c r="B17" s="210" t="s">
        <v>5</v>
      </c>
      <c r="C17" s="1" t="s">
        <v>1931</v>
      </c>
      <c r="D17" s="1"/>
      <c r="E17" s="211" t="s">
        <v>1936</v>
      </c>
      <c r="F17" s="1" t="s">
        <v>1937</v>
      </c>
      <c r="G17" s="212"/>
      <c r="H17" s="1"/>
      <c r="I17" s="211"/>
      <c r="J17" s="213" t="s">
        <v>14</v>
      </c>
      <c r="K17" s="214">
        <f>K14-K15+K16</f>
        <v>794133</v>
      </c>
      <c r="L17" s="214">
        <f t="shared" ref="L17:V17" si="4">L14-L15+L16</f>
        <v>671714</v>
      </c>
      <c r="M17" s="214">
        <f t="shared" si="4"/>
        <v>653275</v>
      </c>
      <c r="N17" s="214">
        <f t="shared" si="4"/>
        <v>385930</v>
      </c>
      <c r="O17" s="214">
        <f t="shared" si="4"/>
        <v>343625</v>
      </c>
      <c r="P17" s="214">
        <f t="shared" si="4"/>
        <v>176174</v>
      </c>
      <c r="Q17" s="214">
        <v>597428</v>
      </c>
      <c r="R17" s="214">
        <v>513578</v>
      </c>
      <c r="S17" s="214">
        <f t="shared" si="4"/>
        <v>245886</v>
      </c>
      <c r="T17" s="214">
        <f t="shared" si="4"/>
        <v>563218</v>
      </c>
      <c r="U17" s="248">
        <f t="shared" si="4"/>
        <v>0</v>
      </c>
      <c r="V17" s="226">
        <f t="shared" si="4"/>
        <v>0</v>
      </c>
      <c r="W17" s="227">
        <f>W14-W15+W16</f>
        <v>4944961</v>
      </c>
      <c r="X17" s="205">
        <f t="shared" si="3"/>
        <v>4944961</v>
      </c>
      <c r="Y17" s="212" t="s">
        <v>1932</v>
      </c>
      <c r="Z17" s="211"/>
      <c r="AA17" s="218" t="s">
        <v>1933</v>
      </c>
      <c r="AB17">
        <v>1</v>
      </c>
      <c r="AD17" t="s">
        <v>1939</v>
      </c>
    </row>
    <row r="18" spans="1:35" ht="15.75" hidden="1" customHeight="1">
      <c r="A18" s="193">
        <v>17</v>
      </c>
      <c r="B18" s="210" t="s">
        <v>5</v>
      </c>
      <c r="C18" s="1" t="s">
        <v>1931</v>
      </c>
      <c r="D18" s="1"/>
      <c r="E18" s="211" t="s">
        <v>1936</v>
      </c>
      <c r="F18" s="1" t="s">
        <v>1937</v>
      </c>
      <c r="G18" s="212"/>
      <c r="H18" s="1"/>
      <c r="I18" s="211"/>
      <c r="J18" s="213" t="s">
        <v>15</v>
      </c>
      <c r="K18" s="214">
        <f>IF(K13=0,0,IF(K12=0,0,K13/K12))</f>
        <v>1069.1862068965518</v>
      </c>
      <c r="L18" s="214">
        <f t="shared" ref="L18:W18" si="5">IF(L13=0,0,IF(L12=0,0,L13/L12))</f>
        <v>1121.412</v>
      </c>
      <c r="M18" s="214">
        <f t="shared" si="5"/>
        <v>1124.1083333333333</v>
      </c>
      <c r="N18" s="214">
        <f t="shared" si="5"/>
        <v>979.85</v>
      </c>
      <c r="O18" s="214">
        <f t="shared" si="5"/>
        <v>1100.6428571428571</v>
      </c>
      <c r="P18" s="214">
        <f t="shared" si="5"/>
        <v>1051.0588235294117</v>
      </c>
      <c r="Q18" s="214">
        <v>996</v>
      </c>
      <c r="R18" s="214">
        <v>1084</v>
      </c>
      <c r="S18" s="214">
        <f t="shared" si="5"/>
        <v>1043.4117647058824</v>
      </c>
      <c r="T18" s="214">
        <f t="shared" si="5"/>
        <v>1024.2272727272727</v>
      </c>
      <c r="U18" s="248">
        <f t="shared" si="5"/>
        <v>0</v>
      </c>
      <c r="V18" s="226">
        <f t="shared" si="5"/>
        <v>0</v>
      </c>
      <c r="W18" s="227">
        <f t="shared" si="5"/>
        <v>1056.4766393442621</v>
      </c>
      <c r="X18" s="205">
        <f t="shared" si="3"/>
        <v>10593.897258335308</v>
      </c>
      <c r="Y18" s="212" t="s">
        <v>1932</v>
      </c>
      <c r="Z18" s="211"/>
      <c r="AA18" s="218" t="s">
        <v>1933</v>
      </c>
      <c r="AB18">
        <v>2</v>
      </c>
      <c r="AD18" t="s">
        <v>1934</v>
      </c>
      <c r="AE18" s="228">
        <f>X14/X13</f>
        <v>17.15791315317734</v>
      </c>
    </row>
    <row r="19" spans="1:35" ht="15.75" hidden="1" customHeight="1" thickBot="1">
      <c r="A19" s="249">
        <v>18</v>
      </c>
      <c r="B19" s="250" t="s">
        <v>5</v>
      </c>
      <c r="C19" s="251" t="s">
        <v>1931</v>
      </c>
      <c r="D19" s="251"/>
      <c r="E19" s="234" t="s">
        <v>1936</v>
      </c>
      <c r="F19" s="251" t="s">
        <v>1937</v>
      </c>
      <c r="G19" s="251"/>
      <c r="H19" s="251"/>
      <c r="I19" s="234"/>
      <c r="J19" s="252" t="s">
        <v>16</v>
      </c>
      <c r="K19" s="253">
        <f>IF(K13=0,0,IF(K17=0,0,K17/K13))</f>
        <v>25.611905929098508</v>
      </c>
      <c r="L19" s="253">
        <f t="shared" ref="L19:X19" si="6">IF(L13=0,0,IF(L17=0,0,L17/L13))</f>
        <v>23.959579530092419</v>
      </c>
      <c r="M19" s="253">
        <f t="shared" si="6"/>
        <v>24.214562653362297</v>
      </c>
      <c r="N19" s="253">
        <f t="shared" si="6"/>
        <v>19.693320406184618</v>
      </c>
      <c r="O19" s="253">
        <f t="shared" si="6"/>
        <v>22.300279057693555</v>
      </c>
      <c r="P19" s="253">
        <f t="shared" si="6"/>
        <v>9.8597492724423557</v>
      </c>
      <c r="Q19" s="253">
        <v>13.95</v>
      </c>
      <c r="R19" s="253">
        <v>14.35</v>
      </c>
      <c r="S19" s="253">
        <f t="shared" si="6"/>
        <v>13.862103957605141</v>
      </c>
      <c r="T19" s="253">
        <f t="shared" si="6"/>
        <v>24.995251409044513</v>
      </c>
      <c r="U19" s="254">
        <f t="shared" si="6"/>
        <v>0</v>
      </c>
      <c r="V19" s="255">
        <f t="shared" si="6"/>
        <v>0</v>
      </c>
      <c r="W19" s="256">
        <f t="shared" si="6"/>
        <v>19.182850667797346</v>
      </c>
      <c r="X19" s="257">
        <f t="shared" si="6"/>
        <v>19.182850667797346</v>
      </c>
      <c r="Y19" s="3" t="s">
        <v>1932</v>
      </c>
      <c r="Z19" s="2"/>
      <c r="AA19" s="258" t="s">
        <v>1933</v>
      </c>
      <c r="AB19">
        <v>2</v>
      </c>
      <c r="AD19" t="s">
        <v>1935</v>
      </c>
      <c r="AE19" s="228">
        <f>X19-AE18</f>
        <v>2.0249375146200066</v>
      </c>
    </row>
    <row r="20" spans="1:35" ht="14.45" hidden="1" customHeight="1">
      <c r="A20" s="236">
        <v>19</v>
      </c>
      <c r="B20" s="237" t="s">
        <v>5</v>
      </c>
      <c r="C20" s="196" t="s">
        <v>1931</v>
      </c>
      <c r="D20" s="196"/>
      <c r="E20" s="199" t="s">
        <v>1936</v>
      </c>
      <c r="F20" s="196" t="s">
        <v>1940</v>
      </c>
      <c r="G20" s="198"/>
      <c r="H20" s="196"/>
      <c r="I20" s="199"/>
      <c r="J20" s="238" t="s">
        <v>8</v>
      </c>
      <c r="K20" s="239">
        <v>6</v>
      </c>
      <c r="L20" s="239">
        <v>16</v>
      </c>
      <c r="M20" s="239">
        <v>31</v>
      </c>
      <c r="N20" s="239">
        <v>32</v>
      </c>
      <c r="O20" s="240">
        <v>12</v>
      </c>
      <c r="P20" s="240">
        <v>19</v>
      </c>
      <c r="Q20" s="240">
        <v>9</v>
      </c>
      <c r="R20" s="240">
        <v>7</v>
      </c>
      <c r="S20" s="240">
        <v>28</v>
      </c>
      <c r="T20" s="240">
        <v>8</v>
      </c>
      <c r="U20" s="241"/>
      <c r="V20" s="242"/>
      <c r="W20" s="243">
        <f t="shared" ref="W20:W25" si="7">SUM(K20:V20)</f>
        <v>168</v>
      </c>
      <c r="X20" s="205">
        <f>SUM(K20:V20)</f>
        <v>168</v>
      </c>
      <c r="Y20" s="4" t="s">
        <v>1932</v>
      </c>
      <c r="Z20" s="197"/>
      <c r="AA20" s="207" t="s">
        <v>1933</v>
      </c>
      <c r="AB20">
        <v>1</v>
      </c>
    </row>
    <row r="21" spans="1:35" ht="15.75" hidden="1" customHeight="1">
      <c r="A21" s="209">
        <v>20</v>
      </c>
      <c r="B21" s="210" t="s">
        <v>5</v>
      </c>
      <c r="C21" s="1" t="s">
        <v>1931</v>
      </c>
      <c r="D21" s="1"/>
      <c r="E21" s="211" t="s">
        <v>1936</v>
      </c>
      <c r="F21" s="1" t="s">
        <v>1940</v>
      </c>
      <c r="G21" s="212"/>
      <c r="H21" s="1"/>
      <c r="I21" s="211"/>
      <c r="J21" s="213" t="s">
        <v>9</v>
      </c>
      <c r="K21" s="214">
        <v>2</v>
      </c>
      <c r="L21" s="214">
        <v>10</v>
      </c>
      <c r="M21" s="214">
        <v>26</v>
      </c>
      <c r="N21" s="214">
        <v>24</v>
      </c>
      <c r="O21" s="215">
        <v>21</v>
      </c>
      <c r="P21" s="215">
        <v>9</v>
      </c>
      <c r="Q21" s="215">
        <v>9</v>
      </c>
      <c r="R21" s="215">
        <v>8</v>
      </c>
      <c r="S21" s="215">
        <v>34</v>
      </c>
      <c r="T21" s="215">
        <f>56+9</f>
        <v>65</v>
      </c>
      <c r="U21" s="245"/>
      <c r="V21" s="216"/>
      <c r="W21" s="217">
        <f t="shared" si="7"/>
        <v>208</v>
      </c>
      <c r="X21" s="205">
        <f t="shared" ref="X21:X27" si="8">SUM(K21:V21)</f>
        <v>208</v>
      </c>
      <c r="Y21" s="212" t="s">
        <v>1932</v>
      </c>
      <c r="Z21" s="211"/>
      <c r="AA21" s="218" t="s">
        <v>1933</v>
      </c>
      <c r="AB21">
        <v>1</v>
      </c>
    </row>
    <row r="22" spans="1:35" ht="15.75" hidden="1" customHeight="1">
      <c r="A22" s="193">
        <v>21</v>
      </c>
      <c r="B22" s="210" t="s">
        <v>5</v>
      </c>
      <c r="C22" s="1" t="s">
        <v>1931</v>
      </c>
      <c r="D22" s="1"/>
      <c r="E22" s="211" t="s">
        <v>1936</v>
      </c>
      <c r="F22" s="1" t="s">
        <v>1940</v>
      </c>
      <c r="G22" s="212"/>
      <c r="H22" s="1"/>
      <c r="I22" s="211"/>
      <c r="J22" s="213" t="s">
        <v>10</v>
      </c>
      <c r="K22" s="215">
        <v>2232.6</v>
      </c>
      <c r="L22" s="215">
        <v>10168.299999999999</v>
      </c>
      <c r="M22" s="215">
        <v>25578</v>
      </c>
      <c r="N22" s="215">
        <v>23764</v>
      </c>
      <c r="O22" s="215">
        <v>19041</v>
      </c>
      <c r="P22" s="215">
        <v>8420</v>
      </c>
      <c r="Q22" s="215">
        <v>8512</v>
      </c>
      <c r="R22" s="215">
        <v>8980</v>
      </c>
      <c r="S22" s="215">
        <v>34487</v>
      </c>
      <c r="T22" s="215">
        <v>29612</v>
      </c>
      <c r="U22" s="245"/>
      <c r="V22" s="216"/>
      <c r="W22" s="217">
        <f t="shared" si="7"/>
        <v>170794.9</v>
      </c>
      <c r="X22" s="205">
        <f t="shared" si="8"/>
        <v>170794.9</v>
      </c>
      <c r="Y22" s="212" t="s">
        <v>1932</v>
      </c>
      <c r="Z22" s="211"/>
      <c r="AA22" s="218" t="s">
        <v>1933</v>
      </c>
      <c r="AB22">
        <v>1</v>
      </c>
      <c r="AF22" s="2" t="s">
        <v>1941</v>
      </c>
      <c r="AG22" s="5"/>
      <c r="AH22" s="5"/>
      <c r="AI22" s="3"/>
    </row>
    <row r="23" spans="1:35" ht="15.75" hidden="1" customHeight="1">
      <c r="A23" s="209">
        <v>22</v>
      </c>
      <c r="B23" s="210" t="s">
        <v>5</v>
      </c>
      <c r="C23" s="1" t="s">
        <v>1931</v>
      </c>
      <c r="D23" s="1"/>
      <c r="E23" s="211" t="s">
        <v>1936</v>
      </c>
      <c r="F23" s="1" t="s">
        <v>1940</v>
      </c>
      <c r="G23" s="212"/>
      <c r="H23" s="1"/>
      <c r="I23" s="211"/>
      <c r="J23" s="213" t="s">
        <v>11</v>
      </c>
      <c r="K23" s="259">
        <v>73150</v>
      </c>
      <c r="L23" s="215">
        <v>271674</v>
      </c>
      <c r="M23" s="215">
        <v>617470</v>
      </c>
      <c r="N23" s="215">
        <v>563055</v>
      </c>
      <c r="O23" s="215">
        <v>391905</v>
      </c>
      <c r="P23" s="215">
        <v>357332</v>
      </c>
      <c r="Q23" s="215">
        <v>186272</v>
      </c>
      <c r="R23" s="215">
        <v>135579</v>
      </c>
      <c r="S23" s="215">
        <v>433996</v>
      </c>
      <c r="T23" s="215">
        <v>427032</v>
      </c>
      <c r="U23" s="245"/>
      <c r="V23" s="216"/>
      <c r="W23" s="217">
        <f t="shared" si="7"/>
        <v>3457465</v>
      </c>
      <c r="X23" s="205">
        <f t="shared" si="8"/>
        <v>3457465</v>
      </c>
      <c r="Y23" s="212" t="s">
        <v>1932</v>
      </c>
      <c r="Z23" s="211"/>
      <c r="AA23" s="218" t="s">
        <v>1933</v>
      </c>
      <c r="AB23">
        <v>1</v>
      </c>
      <c r="AF23" s="260">
        <f>(AE18*X13+AE27*X22)/(X13+X22)</f>
        <v>18.387524523117531</v>
      </c>
      <c r="AG23" s="6"/>
      <c r="AH23" s="6"/>
      <c r="AI23" s="4"/>
    </row>
    <row r="24" spans="1:35" ht="15.75" hidden="1" customHeight="1">
      <c r="A24" s="209">
        <v>23</v>
      </c>
      <c r="B24" s="210" t="s">
        <v>5</v>
      </c>
      <c r="C24" s="1" t="s">
        <v>1931</v>
      </c>
      <c r="D24" s="1"/>
      <c r="E24" s="211" t="s">
        <v>1936</v>
      </c>
      <c r="F24" s="1" t="s">
        <v>1940</v>
      </c>
      <c r="G24" s="212"/>
      <c r="H24" s="1"/>
      <c r="I24" s="211"/>
      <c r="J24" s="261" t="s">
        <v>1938</v>
      </c>
      <c r="K24" s="246">
        <v>38800</v>
      </c>
      <c r="L24" s="246">
        <v>20091</v>
      </c>
      <c r="M24" s="246">
        <v>0</v>
      </c>
      <c r="N24" s="214">
        <v>0</v>
      </c>
      <c r="O24" s="214">
        <v>0</v>
      </c>
      <c r="P24" s="214">
        <v>0</v>
      </c>
      <c r="Q24" s="214">
        <v>0</v>
      </c>
      <c r="R24" s="214">
        <v>0</v>
      </c>
      <c r="S24" s="214">
        <v>0</v>
      </c>
      <c r="T24" s="214">
        <v>0</v>
      </c>
      <c r="U24" s="262"/>
      <c r="V24" s="263"/>
      <c r="W24" s="227">
        <f t="shared" si="7"/>
        <v>58891</v>
      </c>
      <c r="X24" s="205">
        <f t="shared" si="8"/>
        <v>58891</v>
      </c>
      <c r="Y24" s="212" t="s">
        <v>1932</v>
      </c>
      <c r="Z24" s="211"/>
      <c r="AA24" s="218" t="s">
        <v>1933</v>
      </c>
      <c r="AB24">
        <v>1</v>
      </c>
      <c r="AD24" s="264">
        <f>X22+X13</f>
        <v>428575.19999999995</v>
      </c>
      <c r="AF24" s="2" t="s">
        <v>1942</v>
      </c>
      <c r="AG24" s="5"/>
      <c r="AH24" s="5"/>
      <c r="AI24" s="3"/>
    </row>
    <row r="25" spans="1:35" ht="16.5" hidden="1" customHeight="1">
      <c r="A25" s="209">
        <v>24</v>
      </c>
      <c r="B25" s="210" t="s">
        <v>5</v>
      </c>
      <c r="C25" s="1" t="s">
        <v>1931</v>
      </c>
      <c r="D25" s="1"/>
      <c r="E25" s="211" t="s">
        <v>1936</v>
      </c>
      <c r="F25" s="1" t="s">
        <v>1940</v>
      </c>
      <c r="G25" s="212"/>
      <c r="H25" s="1"/>
      <c r="I25" s="211"/>
      <c r="J25" s="219" t="s">
        <v>13</v>
      </c>
      <c r="K25" s="221">
        <v>0</v>
      </c>
      <c r="L25" s="221">
        <v>38800</v>
      </c>
      <c r="M25" s="221">
        <v>58200</v>
      </c>
      <c r="N25" s="221">
        <v>29100</v>
      </c>
      <c r="O25" s="221">
        <v>58200</v>
      </c>
      <c r="P25" s="221">
        <v>9700</v>
      </c>
      <c r="Q25" s="221">
        <v>0</v>
      </c>
      <c r="R25" s="221">
        <v>0</v>
      </c>
      <c r="S25" s="221">
        <v>3948</v>
      </c>
      <c r="T25" s="221">
        <v>77600</v>
      </c>
      <c r="U25" s="247"/>
      <c r="V25" s="222"/>
      <c r="W25" s="223">
        <f t="shared" si="7"/>
        <v>275548</v>
      </c>
      <c r="X25" s="205">
        <f t="shared" si="8"/>
        <v>275548</v>
      </c>
      <c r="Y25" s="212" t="s">
        <v>1932</v>
      </c>
      <c r="Z25" s="211"/>
      <c r="AA25" s="218" t="s">
        <v>1933</v>
      </c>
      <c r="AB25">
        <v>1</v>
      </c>
      <c r="AD25" s="208">
        <f>X22/AD24</f>
        <v>0.39851792637558126</v>
      </c>
      <c r="AF25" s="260">
        <f>(AE19*X13+AE28*X22)/(X13+X22)</f>
        <v>1.7234921666022669</v>
      </c>
      <c r="AG25" s="6"/>
      <c r="AH25" s="6"/>
      <c r="AI25" s="4"/>
    </row>
    <row r="26" spans="1:35" ht="16.5" hidden="1" customHeight="1">
      <c r="A26" s="193">
        <v>25</v>
      </c>
      <c r="B26" s="210" t="s">
        <v>5</v>
      </c>
      <c r="C26" s="1" t="s">
        <v>1931</v>
      </c>
      <c r="D26" s="1"/>
      <c r="E26" s="211" t="s">
        <v>1936</v>
      </c>
      <c r="F26" s="1" t="s">
        <v>1940</v>
      </c>
      <c r="G26" s="212"/>
      <c r="H26" s="1"/>
      <c r="I26" s="211"/>
      <c r="J26" s="213" t="s">
        <v>14</v>
      </c>
      <c r="K26" s="215">
        <f t="shared" ref="K26:P26" si="9">K23-K24+K25</f>
        <v>34350</v>
      </c>
      <c r="L26" s="215">
        <f t="shared" si="9"/>
        <v>290383</v>
      </c>
      <c r="M26" s="215">
        <f t="shared" si="9"/>
        <v>675670</v>
      </c>
      <c r="N26" s="215">
        <f t="shared" si="9"/>
        <v>592155</v>
      </c>
      <c r="O26" s="215">
        <f t="shared" si="9"/>
        <v>450105</v>
      </c>
      <c r="P26" s="215">
        <f t="shared" si="9"/>
        <v>367032</v>
      </c>
      <c r="Q26" s="215">
        <v>186272</v>
      </c>
      <c r="R26" s="215">
        <v>135579</v>
      </c>
      <c r="S26" s="215">
        <f>S23-S24+S25</f>
        <v>437944</v>
      </c>
      <c r="T26" s="215">
        <f>T23-T24+T25</f>
        <v>504632</v>
      </c>
      <c r="U26" s="245">
        <f>U23-U24+U25</f>
        <v>0</v>
      </c>
      <c r="V26" s="216">
        <f>V23-V24+V25</f>
        <v>0</v>
      </c>
      <c r="W26" s="265">
        <f>W23-W24+W25</f>
        <v>3674122</v>
      </c>
      <c r="X26" s="205">
        <f t="shared" si="8"/>
        <v>3674122</v>
      </c>
      <c r="Y26" s="212" t="s">
        <v>1932</v>
      </c>
      <c r="Z26" s="211"/>
      <c r="AA26" s="218" t="s">
        <v>1933</v>
      </c>
      <c r="AB26">
        <v>1</v>
      </c>
      <c r="AD26" s="208"/>
    </row>
    <row r="27" spans="1:35" ht="15.75" hidden="1" customHeight="1">
      <c r="A27" s="209">
        <v>27</v>
      </c>
      <c r="B27" s="210" t="s">
        <v>5</v>
      </c>
      <c r="C27" s="1" t="s">
        <v>1931</v>
      </c>
      <c r="D27" s="1"/>
      <c r="E27" s="211" t="s">
        <v>1936</v>
      </c>
      <c r="F27" s="1" t="s">
        <v>1940</v>
      </c>
      <c r="G27" s="212"/>
      <c r="H27" s="1"/>
      <c r="I27" s="211"/>
      <c r="J27" s="213" t="s">
        <v>15</v>
      </c>
      <c r="K27" s="214">
        <f t="shared" ref="K27:W27" si="10">IF(K21=0,0,IF(K22=0,0,K22/K21))</f>
        <v>1116.3</v>
      </c>
      <c r="L27" s="214">
        <f t="shared" si="10"/>
        <v>1016.8299999999999</v>
      </c>
      <c r="M27" s="214">
        <f t="shared" si="10"/>
        <v>983.76923076923072</v>
      </c>
      <c r="N27" s="214">
        <f t="shared" si="10"/>
        <v>990.16666666666663</v>
      </c>
      <c r="O27" s="214">
        <f t="shared" si="10"/>
        <v>906.71428571428567</v>
      </c>
      <c r="P27" s="214">
        <f t="shared" si="10"/>
        <v>935.55555555555554</v>
      </c>
      <c r="Q27" s="214">
        <v>946</v>
      </c>
      <c r="R27" s="214">
        <v>1123</v>
      </c>
      <c r="S27" s="214">
        <f t="shared" si="10"/>
        <v>1014.3235294117648</v>
      </c>
      <c r="T27" s="214">
        <f t="shared" si="10"/>
        <v>455.56923076923078</v>
      </c>
      <c r="U27" s="248">
        <f t="shared" si="10"/>
        <v>0</v>
      </c>
      <c r="V27" s="226">
        <f t="shared" si="10"/>
        <v>0</v>
      </c>
      <c r="W27" s="227">
        <f t="shared" si="10"/>
        <v>821.12932692307686</v>
      </c>
      <c r="X27" s="205">
        <f t="shared" si="8"/>
        <v>9488.2284988867341</v>
      </c>
      <c r="Y27" s="212" t="s">
        <v>1932</v>
      </c>
      <c r="Z27" s="211"/>
      <c r="AA27" s="218" t="s">
        <v>1933</v>
      </c>
      <c r="AB27">
        <v>2</v>
      </c>
      <c r="AD27" t="s">
        <v>1934</v>
      </c>
      <c r="AE27" s="228">
        <f>W23/W22</f>
        <v>20.243373777554247</v>
      </c>
    </row>
    <row r="28" spans="1:35" ht="15.75" hidden="1" customHeight="1" thickBot="1">
      <c r="A28" s="249">
        <v>28</v>
      </c>
      <c r="B28" s="250" t="s">
        <v>5</v>
      </c>
      <c r="C28" s="251" t="s">
        <v>1931</v>
      </c>
      <c r="D28" s="251"/>
      <c r="E28" s="234" t="s">
        <v>1936</v>
      </c>
      <c r="F28" s="251" t="s">
        <v>1940</v>
      </c>
      <c r="G28" s="266"/>
      <c r="H28" s="251"/>
      <c r="I28" s="234"/>
      <c r="J28" s="252" t="s">
        <v>16</v>
      </c>
      <c r="K28" s="253">
        <f t="shared" ref="K28:X28" si="11">IF(K22=0,0,IF(K26=0,0,K26/K22))</f>
        <v>15.385649019080892</v>
      </c>
      <c r="L28" s="253">
        <f t="shared" si="11"/>
        <v>28.557674340843604</v>
      </c>
      <c r="M28" s="253">
        <f t="shared" si="11"/>
        <v>26.416060677144422</v>
      </c>
      <c r="N28" s="253">
        <f t="shared" si="11"/>
        <v>24.918153509510184</v>
      </c>
      <c r="O28" s="253">
        <f t="shared" si="11"/>
        <v>23.638726957617774</v>
      </c>
      <c r="P28" s="253">
        <f t="shared" si="11"/>
        <v>43.590498812351541</v>
      </c>
      <c r="Q28" s="253">
        <v>21.88</v>
      </c>
      <c r="R28" s="253">
        <v>15.1</v>
      </c>
      <c r="S28" s="253">
        <f t="shared" si="11"/>
        <v>12.698814045872357</v>
      </c>
      <c r="T28" s="253">
        <f t="shared" si="11"/>
        <v>17.041469674456302</v>
      </c>
      <c r="U28" s="254">
        <f t="shared" si="11"/>
        <v>0</v>
      </c>
      <c r="V28" s="255">
        <f t="shared" si="11"/>
        <v>0</v>
      </c>
      <c r="W28" s="256">
        <f t="shared" si="11"/>
        <v>21.511895261509565</v>
      </c>
      <c r="X28" s="257">
        <f t="shared" si="11"/>
        <v>21.511895261509565</v>
      </c>
      <c r="Y28" s="212" t="s">
        <v>1932</v>
      </c>
      <c r="Z28" s="234"/>
      <c r="AA28" s="235" t="s">
        <v>1933</v>
      </c>
      <c r="AB28">
        <v>2</v>
      </c>
      <c r="AD28" t="s">
        <v>1935</v>
      </c>
      <c r="AE28" s="228">
        <f>X28-AE27</f>
        <v>1.2685214839553183</v>
      </c>
    </row>
    <row r="29" spans="1:35" ht="15.75" hidden="1" customHeight="1" thickBot="1">
      <c r="A29" s="236">
        <v>29</v>
      </c>
      <c r="B29" s="237" t="s">
        <v>5</v>
      </c>
      <c r="C29" s="267" t="s">
        <v>1943</v>
      </c>
      <c r="D29" s="267"/>
      <c r="E29" s="199" t="s">
        <v>1936</v>
      </c>
      <c r="F29" s="267" t="s">
        <v>1944</v>
      </c>
      <c r="G29" s="198"/>
      <c r="H29" s="196"/>
      <c r="I29" s="199"/>
      <c r="J29" s="238" t="s">
        <v>8</v>
      </c>
      <c r="K29" s="239">
        <v>0</v>
      </c>
      <c r="L29" s="239">
        <v>0</v>
      </c>
      <c r="M29" s="239">
        <v>0</v>
      </c>
      <c r="N29" s="239">
        <v>0</v>
      </c>
      <c r="O29" s="240">
        <v>0</v>
      </c>
      <c r="P29" s="240">
        <v>0</v>
      </c>
      <c r="Q29" s="240">
        <v>0</v>
      </c>
      <c r="R29" s="240">
        <v>0</v>
      </c>
      <c r="S29" s="240">
        <v>0</v>
      </c>
      <c r="T29" s="240">
        <v>0</v>
      </c>
      <c r="U29" s="241"/>
      <c r="V29" s="242"/>
      <c r="W29" s="268">
        <f>SUM(K29:V29)</f>
        <v>0</v>
      </c>
      <c r="X29" s="205">
        <f>SUM(K29:V29)</f>
        <v>0</v>
      </c>
      <c r="Y29" s="212" t="s">
        <v>1932</v>
      </c>
      <c r="Z29" s="199"/>
      <c r="AA29" s="244" t="s">
        <v>1933</v>
      </c>
      <c r="AB29">
        <v>1</v>
      </c>
    </row>
    <row r="30" spans="1:35" ht="15.75" hidden="1" customHeight="1">
      <c r="A30" s="209">
        <v>30</v>
      </c>
      <c r="B30" s="194" t="s">
        <v>5</v>
      </c>
      <c r="C30" s="269" t="s">
        <v>1943</v>
      </c>
      <c r="D30" s="269"/>
      <c r="E30" s="197" t="s">
        <v>1936</v>
      </c>
      <c r="F30" s="269" t="s">
        <v>1944</v>
      </c>
      <c r="G30" s="270"/>
      <c r="H30" s="269"/>
      <c r="I30" s="271"/>
      <c r="J30" s="200" t="s">
        <v>9</v>
      </c>
      <c r="K30" s="201">
        <v>17</v>
      </c>
      <c r="L30" s="201">
        <v>19</v>
      </c>
      <c r="M30" s="201">
        <v>17</v>
      </c>
      <c r="N30" s="201">
        <v>20</v>
      </c>
      <c r="O30" s="202">
        <v>18</v>
      </c>
      <c r="P30" s="202">
        <v>22</v>
      </c>
      <c r="Q30" s="202">
        <v>23</v>
      </c>
      <c r="R30" s="202">
        <v>10</v>
      </c>
      <c r="S30" s="202">
        <v>22</v>
      </c>
      <c r="T30" s="202">
        <v>24</v>
      </c>
      <c r="U30" s="272"/>
      <c r="V30" s="203"/>
      <c r="W30" s="243">
        <f>SUM(K30:V30)</f>
        <v>192</v>
      </c>
      <c r="X30" s="205">
        <f>SUM(K30:V30)</f>
        <v>192</v>
      </c>
      <c r="Y30" s="212" t="s">
        <v>1932</v>
      </c>
      <c r="Z30" s="197"/>
      <c r="AA30" s="207" t="s">
        <v>1933</v>
      </c>
      <c r="AB30">
        <v>1</v>
      </c>
      <c r="AD30" t="s">
        <v>1945</v>
      </c>
    </row>
    <row r="31" spans="1:35" ht="15.75" hidden="1" customHeight="1">
      <c r="A31" s="209">
        <v>31</v>
      </c>
      <c r="B31" s="210" t="s">
        <v>5</v>
      </c>
      <c r="C31" s="273" t="s">
        <v>1943</v>
      </c>
      <c r="D31" s="273"/>
      <c r="E31" s="211" t="s">
        <v>1936</v>
      </c>
      <c r="F31" s="273" t="s">
        <v>1944</v>
      </c>
      <c r="G31" s="274"/>
      <c r="H31" s="273"/>
      <c r="I31" s="275"/>
      <c r="J31" s="213" t="s">
        <v>10</v>
      </c>
      <c r="K31" s="201">
        <v>12388.4</v>
      </c>
      <c r="L31" s="214">
        <v>16393</v>
      </c>
      <c r="M31" s="214">
        <v>17177</v>
      </c>
      <c r="N31" s="214">
        <v>14096</v>
      </c>
      <c r="O31" s="215">
        <v>15116</v>
      </c>
      <c r="P31" s="215">
        <v>19227</v>
      </c>
      <c r="Q31" s="215">
        <v>19484.599999999999</v>
      </c>
      <c r="R31" s="215">
        <v>8746.5</v>
      </c>
      <c r="S31" s="215">
        <v>21395</v>
      </c>
      <c r="T31" s="215">
        <v>21663</v>
      </c>
      <c r="U31" s="245"/>
      <c r="V31" s="216"/>
      <c r="W31" s="217">
        <f>SUM(K31:V31)</f>
        <v>165686.5</v>
      </c>
      <c r="X31" s="205">
        <f>SUM(K31:V31)</f>
        <v>165686.5</v>
      </c>
      <c r="Y31" s="212" t="s">
        <v>1932</v>
      </c>
      <c r="Z31" s="211"/>
      <c r="AA31" s="218" t="s">
        <v>1933</v>
      </c>
      <c r="AB31">
        <v>1</v>
      </c>
    </row>
    <row r="32" spans="1:35" ht="15.75" hidden="1" customHeight="1">
      <c r="A32" s="209">
        <v>32</v>
      </c>
      <c r="B32" s="210" t="s">
        <v>5</v>
      </c>
      <c r="C32" s="273" t="s">
        <v>1943</v>
      </c>
      <c r="D32" s="273"/>
      <c r="E32" s="211" t="s">
        <v>1936</v>
      </c>
      <c r="F32" s="273" t="s">
        <v>1944</v>
      </c>
      <c r="G32" s="274"/>
      <c r="H32" s="273"/>
      <c r="I32" s="275"/>
      <c r="J32" s="213" t="s">
        <v>14</v>
      </c>
      <c r="K32" s="214">
        <v>236857</v>
      </c>
      <c r="L32" s="214">
        <v>236857</v>
      </c>
      <c r="M32" s="214">
        <v>236857</v>
      </c>
      <c r="N32" s="214">
        <v>236857</v>
      </c>
      <c r="O32" s="215">
        <v>236857</v>
      </c>
      <c r="P32" s="215">
        <v>236857</v>
      </c>
      <c r="Q32" s="215">
        <v>236857</v>
      </c>
      <c r="R32" s="215">
        <v>236857</v>
      </c>
      <c r="S32" s="215">
        <v>236857</v>
      </c>
      <c r="T32" s="215">
        <v>236857</v>
      </c>
      <c r="U32" s="245"/>
      <c r="V32" s="216"/>
      <c r="W32" s="217">
        <f>SUM(K32:V32)</f>
        <v>2368570</v>
      </c>
      <c r="X32" s="205">
        <f>SUM(K32:V32)</f>
        <v>2368570</v>
      </c>
      <c r="Y32" s="212" t="s">
        <v>1932</v>
      </c>
      <c r="Z32" s="211"/>
      <c r="AA32" s="218" t="s">
        <v>1933</v>
      </c>
      <c r="AB32">
        <v>1</v>
      </c>
    </row>
    <row r="33" spans="1:28" ht="15.75" hidden="1" customHeight="1">
      <c r="A33" s="193">
        <v>33</v>
      </c>
      <c r="B33" s="210" t="s">
        <v>5</v>
      </c>
      <c r="C33" s="273" t="s">
        <v>1943</v>
      </c>
      <c r="D33" s="273"/>
      <c r="E33" s="211" t="s">
        <v>1936</v>
      </c>
      <c r="F33" s="273" t="s">
        <v>1944</v>
      </c>
      <c r="G33" s="274"/>
      <c r="H33" s="273"/>
      <c r="I33" s="275"/>
      <c r="J33" s="213" t="s">
        <v>15</v>
      </c>
      <c r="K33" s="214">
        <f>IF(K30=0,0,IF(K31=0,0,K31/K30))</f>
        <v>728.7294117647059</v>
      </c>
      <c r="L33" s="214">
        <f t="shared" ref="L33:V33" si="12">IF(L30=0,0,IF(L31=0,0,L31/L30))</f>
        <v>862.78947368421052</v>
      </c>
      <c r="M33" s="214">
        <f t="shared" si="12"/>
        <v>1010.4117647058823</v>
      </c>
      <c r="N33" s="214">
        <f t="shared" si="12"/>
        <v>704.8</v>
      </c>
      <c r="O33" s="214">
        <f t="shared" si="12"/>
        <v>839.77777777777783</v>
      </c>
      <c r="P33" s="214">
        <f t="shared" si="12"/>
        <v>873.9545454545455</v>
      </c>
      <c r="Q33" s="214">
        <f t="shared" si="12"/>
        <v>847.15652173913043</v>
      </c>
      <c r="R33" s="214">
        <f t="shared" si="12"/>
        <v>874.65</v>
      </c>
      <c r="S33" s="214">
        <f t="shared" si="12"/>
        <v>972.5</v>
      </c>
      <c r="T33" s="214">
        <f t="shared" si="12"/>
        <v>902.625</v>
      </c>
      <c r="U33" s="214">
        <f t="shared" si="12"/>
        <v>0</v>
      </c>
      <c r="V33" s="226">
        <f t="shared" si="12"/>
        <v>0</v>
      </c>
      <c r="W33" s="276">
        <f>IF(W30=0,0,IF(W31=0,0,W31/W30))</f>
        <v>862.95052083333337</v>
      </c>
      <c r="X33" s="205">
        <f>SUM(K33:V33)</f>
        <v>8617.3944951262529</v>
      </c>
      <c r="Y33" s="212" t="s">
        <v>1932</v>
      </c>
      <c r="Z33" s="211"/>
      <c r="AA33" s="218" t="s">
        <v>1933</v>
      </c>
      <c r="AB33">
        <v>2</v>
      </c>
    </row>
    <row r="34" spans="1:28" ht="15.75" hidden="1" customHeight="1" thickBot="1">
      <c r="A34" s="249">
        <v>34</v>
      </c>
      <c r="B34" s="250" t="s">
        <v>5</v>
      </c>
      <c r="C34" s="277" t="s">
        <v>1943</v>
      </c>
      <c r="D34" s="277"/>
      <c r="E34" s="234" t="s">
        <v>1936</v>
      </c>
      <c r="F34" s="277" t="s">
        <v>1944</v>
      </c>
      <c r="G34" s="278"/>
      <c r="H34" s="277"/>
      <c r="I34" s="279"/>
      <c r="J34" s="252" t="s">
        <v>16</v>
      </c>
      <c r="K34" s="253">
        <f t="shared" ref="K34:V34" si="13">IF(K31=0,0,IF(K32=0,0,K32/K31))</f>
        <v>19.119256724032159</v>
      </c>
      <c r="L34" s="253">
        <f t="shared" si="13"/>
        <v>14.448667114012078</v>
      </c>
      <c r="M34" s="253">
        <f>IF(M31=0,0,IF(M32=0,0,M32/M31))</f>
        <v>13.789194853583281</v>
      </c>
      <c r="N34" s="253">
        <f t="shared" si="13"/>
        <v>16.803135641316686</v>
      </c>
      <c r="O34" s="253">
        <f t="shared" si="13"/>
        <v>15.669290817676634</v>
      </c>
      <c r="P34" s="253">
        <f t="shared" si="13"/>
        <v>12.318978519789878</v>
      </c>
      <c r="Q34" s="253">
        <v>0</v>
      </c>
      <c r="R34" s="253">
        <v>0</v>
      </c>
      <c r="S34" s="253">
        <f t="shared" si="13"/>
        <v>11.07067071745735</v>
      </c>
      <c r="T34" s="253">
        <f t="shared" si="13"/>
        <v>10.933711858929973</v>
      </c>
      <c r="U34" s="253">
        <f t="shared" si="13"/>
        <v>0</v>
      </c>
      <c r="V34" s="255">
        <f t="shared" si="13"/>
        <v>0</v>
      </c>
      <c r="W34" s="256">
        <f>IF(W31=0,0,IF(W32=0,0,W32/W31))</f>
        <v>14.295491787200527</v>
      </c>
      <c r="X34" s="280">
        <f>IF(X31=0,0,IF(X32=0,0,X32/X31))</f>
        <v>14.295491787200527</v>
      </c>
      <c r="Y34" s="212" t="s">
        <v>1932</v>
      </c>
      <c r="Z34" s="234"/>
      <c r="AA34" s="235" t="s">
        <v>1933</v>
      </c>
      <c r="AB34">
        <v>2</v>
      </c>
    </row>
    <row r="35" spans="1:28" ht="15.75" hidden="1" customHeight="1">
      <c r="A35" s="193">
        <v>35</v>
      </c>
      <c r="B35" s="194" t="s">
        <v>5</v>
      </c>
      <c r="C35" s="267" t="s">
        <v>1943</v>
      </c>
      <c r="D35" s="269"/>
      <c r="E35" s="197" t="s">
        <v>1936</v>
      </c>
      <c r="F35" s="269" t="s">
        <v>1946</v>
      </c>
      <c r="G35" s="4"/>
      <c r="H35" s="269"/>
      <c r="I35" s="271"/>
      <c r="J35" s="200" t="s">
        <v>1947</v>
      </c>
      <c r="K35" s="201">
        <v>0</v>
      </c>
      <c r="L35" s="201">
        <v>0</v>
      </c>
      <c r="M35" s="201">
        <v>3</v>
      </c>
      <c r="N35" s="201">
        <v>1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/>
      <c r="V35" s="224"/>
      <c r="W35" s="281">
        <f>SUM(K35:V35)</f>
        <v>4</v>
      </c>
      <c r="X35" s="205">
        <f>SUM(K35:V35)</f>
        <v>4</v>
      </c>
      <c r="Y35" s="1" t="s">
        <v>1932</v>
      </c>
      <c r="Z35" s="199"/>
      <c r="AA35" s="244" t="s">
        <v>1933</v>
      </c>
      <c r="AB35">
        <v>1</v>
      </c>
    </row>
    <row r="36" spans="1:28" ht="15.75" hidden="1" customHeight="1">
      <c r="A36" s="209">
        <v>36</v>
      </c>
      <c r="B36" s="210" t="s">
        <v>5</v>
      </c>
      <c r="C36" s="269" t="s">
        <v>1943</v>
      </c>
      <c r="D36" s="273"/>
      <c r="E36" s="211" t="s">
        <v>1936</v>
      </c>
      <c r="F36" s="273" t="s">
        <v>1946</v>
      </c>
      <c r="G36" s="270"/>
      <c r="H36" s="273"/>
      <c r="I36" s="275"/>
      <c r="J36" s="213" t="s">
        <v>9</v>
      </c>
      <c r="K36" s="214">
        <v>1</v>
      </c>
      <c r="L36" s="214">
        <v>0</v>
      </c>
      <c r="M36" s="214">
        <v>4</v>
      </c>
      <c r="N36" s="214">
        <v>0</v>
      </c>
      <c r="O36" s="214">
        <v>1</v>
      </c>
      <c r="P36" s="214">
        <v>6</v>
      </c>
      <c r="Q36" s="214">
        <v>1</v>
      </c>
      <c r="R36" s="214">
        <v>0</v>
      </c>
      <c r="S36" s="214">
        <v>0</v>
      </c>
      <c r="T36" s="214">
        <v>0</v>
      </c>
      <c r="U36" s="214"/>
      <c r="V36" s="226"/>
      <c r="W36" s="282">
        <f>SUM(K36:V36)</f>
        <v>13</v>
      </c>
      <c r="X36" s="205">
        <f>SUM(K36:V36)</f>
        <v>13</v>
      </c>
      <c r="Y36" s="1" t="s">
        <v>1932</v>
      </c>
      <c r="Z36" s="211"/>
      <c r="AA36" s="218" t="s">
        <v>1933</v>
      </c>
      <c r="AB36">
        <v>1</v>
      </c>
    </row>
    <row r="37" spans="1:28" ht="15.75" hidden="1" customHeight="1">
      <c r="A37" s="193">
        <v>37</v>
      </c>
      <c r="B37" s="210" t="s">
        <v>5</v>
      </c>
      <c r="C37" s="273" t="s">
        <v>1943</v>
      </c>
      <c r="D37" s="273"/>
      <c r="E37" s="211" t="s">
        <v>1936</v>
      </c>
      <c r="F37" s="273" t="s">
        <v>1946</v>
      </c>
      <c r="G37" s="274"/>
      <c r="H37" s="273"/>
      <c r="I37" s="275"/>
      <c r="J37" s="213" t="s">
        <v>10</v>
      </c>
      <c r="K37" s="214">
        <v>956</v>
      </c>
      <c r="L37" s="214"/>
      <c r="M37" s="214">
        <v>2367</v>
      </c>
      <c r="N37" s="214">
        <v>0</v>
      </c>
      <c r="O37" s="214">
        <v>819</v>
      </c>
      <c r="P37" s="214">
        <v>3571</v>
      </c>
      <c r="Q37" s="214">
        <v>696</v>
      </c>
      <c r="R37" s="214">
        <v>0</v>
      </c>
      <c r="S37" s="214">
        <v>0</v>
      </c>
      <c r="T37" s="214">
        <v>0</v>
      </c>
      <c r="U37" s="214"/>
      <c r="V37" s="226"/>
      <c r="W37" s="282">
        <f>SUM(K37:V37)</f>
        <v>8409</v>
      </c>
      <c r="X37" s="205">
        <f>SUM(K37:V37)</f>
        <v>8409</v>
      </c>
      <c r="Y37" s="1" t="s">
        <v>1932</v>
      </c>
      <c r="Z37" s="211"/>
      <c r="AA37" s="218" t="s">
        <v>1933</v>
      </c>
      <c r="AB37">
        <v>1</v>
      </c>
    </row>
    <row r="38" spans="1:28" ht="15.75" hidden="1" customHeight="1">
      <c r="A38" s="209">
        <v>38</v>
      </c>
      <c r="B38" s="210" t="s">
        <v>5</v>
      </c>
      <c r="C38" s="273" t="s">
        <v>1943</v>
      </c>
      <c r="D38" s="273"/>
      <c r="E38" s="211" t="s">
        <v>1936</v>
      </c>
      <c r="F38" s="273" t="s">
        <v>1946</v>
      </c>
      <c r="G38" s="274"/>
      <c r="H38" s="273"/>
      <c r="I38" s="275"/>
      <c r="J38" s="213" t="s">
        <v>14</v>
      </c>
      <c r="K38" s="214">
        <v>6600</v>
      </c>
      <c r="L38" s="214"/>
      <c r="M38" s="214">
        <f>23300+40800</f>
        <v>64100</v>
      </c>
      <c r="N38" s="214">
        <v>7450</v>
      </c>
      <c r="O38" s="214">
        <v>25866</v>
      </c>
      <c r="P38" s="214">
        <v>123318</v>
      </c>
      <c r="Q38" s="214">
        <v>15240</v>
      </c>
      <c r="R38" s="214">
        <v>0</v>
      </c>
      <c r="S38" s="214">
        <v>0</v>
      </c>
      <c r="T38" s="214">
        <v>0</v>
      </c>
      <c r="U38" s="214"/>
      <c r="V38" s="226"/>
      <c r="W38" s="282">
        <f>SUM(K38:V38)</f>
        <v>242574</v>
      </c>
      <c r="X38" s="205">
        <f>SUM(K38:V38)</f>
        <v>242574</v>
      </c>
      <c r="Y38" s="1" t="s">
        <v>1932</v>
      </c>
      <c r="Z38" s="211"/>
      <c r="AA38" s="218" t="s">
        <v>1933</v>
      </c>
      <c r="AB38">
        <v>1</v>
      </c>
    </row>
    <row r="39" spans="1:28" ht="15.75" hidden="1" customHeight="1">
      <c r="A39" s="209">
        <v>39</v>
      </c>
      <c r="B39" s="210" t="s">
        <v>5</v>
      </c>
      <c r="C39" s="273" t="s">
        <v>1943</v>
      </c>
      <c r="D39" s="273"/>
      <c r="E39" s="211" t="s">
        <v>1936</v>
      </c>
      <c r="F39" s="273" t="s">
        <v>1946</v>
      </c>
      <c r="G39" s="274"/>
      <c r="H39" s="273"/>
      <c r="I39" s="275"/>
      <c r="J39" s="213" t="s">
        <v>15</v>
      </c>
      <c r="K39" s="214">
        <f t="shared" ref="K39:N40" si="14">IF(K37=0,0,IF(K36=0,0,K37/K36))</f>
        <v>956</v>
      </c>
      <c r="L39" s="214">
        <f t="shared" si="14"/>
        <v>0</v>
      </c>
      <c r="M39" s="214">
        <f t="shared" si="14"/>
        <v>591.75</v>
      </c>
      <c r="N39" s="214">
        <f t="shared" si="14"/>
        <v>0</v>
      </c>
      <c r="O39" s="214">
        <f>IF(O37=0,0,IF(O36=0,0,O37/O36))</f>
        <v>819</v>
      </c>
      <c r="P39" s="214">
        <f t="shared" ref="P39:V40" si="15">IF(P37=0,0,IF(P36=0,0,P37/P36))</f>
        <v>595.16666666666663</v>
      </c>
      <c r="Q39" s="214">
        <v>696</v>
      </c>
      <c r="R39" s="214">
        <v>0</v>
      </c>
      <c r="S39" s="214">
        <f t="shared" si="15"/>
        <v>0</v>
      </c>
      <c r="T39" s="214">
        <f t="shared" si="15"/>
        <v>0</v>
      </c>
      <c r="U39" s="214">
        <f t="shared" si="15"/>
        <v>0</v>
      </c>
      <c r="V39" s="226">
        <f t="shared" si="15"/>
        <v>0</v>
      </c>
      <c r="W39" s="276">
        <f>IF(W37=0,0,IF(W36=0,0,W37/W36))</f>
        <v>646.84615384615381</v>
      </c>
      <c r="X39" s="205">
        <f>SUM(K39:V39)</f>
        <v>3657.9166666666665</v>
      </c>
      <c r="Y39" s="1" t="s">
        <v>1932</v>
      </c>
      <c r="Z39" s="211"/>
      <c r="AA39" s="218" t="s">
        <v>1933</v>
      </c>
      <c r="AB39">
        <v>2</v>
      </c>
    </row>
    <row r="40" spans="1:28" ht="15.75" hidden="1" customHeight="1" thickBot="1">
      <c r="A40" s="209">
        <v>40</v>
      </c>
      <c r="B40" s="250" t="s">
        <v>5</v>
      </c>
      <c r="C40" s="277" t="s">
        <v>1943</v>
      </c>
      <c r="D40" s="277"/>
      <c r="E40" s="234" t="s">
        <v>1936</v>
      </c>
      <c r="F40" s="283" t="s">
        <v>1946</v>
      </c>
      <c r="G40" s="278"/>
      <c r="H40" s="277"/>
      <c r="I40" s="279"/>
      <c r="J40" s="252" t="s">
        <v>16</v>
      </c>
      <c r="K40" s="253">
        <f t="shared" si="14"/>
        <v>6.9037656903765692</v>
      </c>
      <c r="L40" s="253">
        <f t="shared" si="14"/>
        <v>0</v>
      </c>
      <c r="M40" s="253">
        <f t="shared" si="14"/>
        <v>27.080692860160539</v>
      </c>
      <c r="N40" s="253">
        <f t="shared" si="14"/>
        <v>0</v>
      </c>
      <c r="O40" s="253">
        <f>IF(O38=0,0,IF(O37=0,0,O38/O37))</f>
        <v>31.582417582417584</v>
      </c>
      <c r="P40" s="253">
        <f t="shared" si="15"/>
        <v>34.533183982077851</v>
      </c>
      <c r="Q40" s="253">
        <v>21.9</v>
      </c>
      <c r="R40" s="253">
        <v>0</v>
      </c>
      <c r="S40" s="253">
        <f t="shared" si="15"/>
        <v>0</v>
      </c>
      <c r="T40" s="253">
        <f t="shared" si="15"/>
        <v>0</v>
      </c>
      <c r="U40" s="253">
        <f t="shared" si="15"/>
        <v>0</v>
      </c>
      <c r="V40" s="255">
        <f t="shared" si="15"/>
        <v>0</v>
      </c>
      <c r="W40" s="256">
        <f>IF(W38=0,0,IF(W37=0,0,W38/W37))</f>
        <v>28.846949696753477</v>
      </c>
      <c r="X40" s="280">
        <f>IF(X38=0,0,IF(X37=0,0,X38/X37))</f>
        <v>28.846949696753477</v>
      </c>
      <c r="Y40" s="1" t="s">
        <v>1932</v>
      </c>
      <c r="Z40" s="234"/>
      <c r="AA40" s="235" t="s">
        <v>1933</v>
      </c>
      <c r="AB40">
        <v>2</v>
      </c>
    </row>
    <row r="41" spans="1:28" ht="15.75" hidden="1" customHeight="1">
      <c r="A41" s="193">
        <v>41</v>
      </c>
      <c r="B41" s="237" t="s">
        <v>5</v>
      </c>
      <c r="C41" s="267" t="s">
        <v>1948</v>
      </c>
      <c r="D41" s="284"/>
      <c r="E41" s="199" t="s">
        <v>1936</v>
      </c>
      <c r="F41" s="267" t="s">
        <v>1949</v>
      </c>
      <c r="G41" s="285" t="s">
        <v>1950</v>
      </c>
      <c r="H41" s="267"/>
      <c r="I41" s="286"/>
      <c r="J41" s="238" t="s">
        <v>1947</v>
      </c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87"/>
      <c r="W41" s="288">
        <f t="shared" ref="W41:W46" si="16">SUM(K41:V41)</f>
        <v>0</v>
      </c>
      <c r="X41" s="205">
        <f>SUM(K41:V41)</f>
        <v>0</v>
      </c>
      <c r="Y41" s="1" t="s">
        <v>1932</v>
      </c>
      <c r="Z41" s="199"/>
      <c r="AA41" s="244" t="s">
        <v>1933</v>
      </c>
      <c r="AB41">
        <v>1</v>
      </c>
    </row>
    <row r="42" spans="1:28" ht="15.75" hidden="1" customHeight="1">
      <c r="A42" s="209">
        <v>42</v>
      </c>
      <c r="B42" s="210" t="s">
        <v>5</v>
      </c>
      <c r="C42" s="273" t="s">
        <v>1948</v>
      </c>
      <c r="D42" s="289"/>
      <c r="E42" s="211" t="s">
        <v>1936</v>
      </c>
      <c r="F42" s="273" t="s">
        <v>1949</v>
      </c>
      <c r="G42" s="274"/>
      <c r="H42" s="273"/>
      <c r="I42" s="275"/>
      <c r="J42" s="213" t="s">
        <v>9</v>
      </c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26"/>
      <c r="W42" s="276">
        <f t="shared" si="16"/>
        <v>0</v>
      </c>
      <c r="X42" s="205">
        <f t="shared" ref="X42:X47" si="17">SUM(K42:V42)</f>
        <v>0</v>
      </c>
      <c r="Y42" s="1" t="s">
        <v>1932</v>
      </c>
      <c r="Z42" s="211"/>
      <c r="AA42" s="218" t="s">
        <v>1933</v>
      </c>
      <c r="AB42">
        <v>1</v>
      </c>
    </row>
    <row r="43" spans="1:28" ht="15.75" hidden="1" customHeight="1">
      <c r="A43" s="209">
        <v>43</v>
      </c>
      <c r="B43" s="210" t="s">
        <v>5</v>
      </c>
      <c r="C43" s="273" t="s">
        <v>1948</v>
      </c>
      <c r="D43" s="289"/>
      <c r="E43" s="211" t="s">
        <v>1936</v>
      </c>
      <c r="F43" s="273" t="s">
        <v>1949</v>
      </c>
      <c r="G43" s="274"/>
      <c r="H43" s="273"/>
      <c r="I43" s="275"/>
      <c r="J43" s="213" t="s">
        <v>10</v>
      </c>
      <c r="K43" s="214">
        <v>470</v>
      </c>
      <c r="L43" s="214">
        <v>0</v>
      </c>
      <c r="M43" s="214">
        <v>262</v>
      </c>
      <c r="N43" s="214">
        <v>169</v>
      </c>
      <c r="O43" s="214">
        <v>257</v>
      </c>
      <c r="P43" s="214">
        <v>0</v>
      </c>
      <c r="Q43" s="214">
        <v>0</v>
      </c>
      <c r="R43" s="214">
        <v>0</v>
      </c>
      <c r="S43" s="214">
        <v>0</v>
      </c>
      <c r="T43" s="214">
        <v>0</v>
      </c>
      <c r="U43" s="214"/>
      <c r="V43" s="226"/>
      <c r="W43" s="276">
        <f t="shared" si="16"/>
        <v>1158</v>
      </c>
      <c r="X43" s="205">
        <f t="shared" si="17"/>
        <v>1158</v>
      </c>
      <c r="Y43" s="1" t="s">
        <v>1932</v>
      </c>
      <c r="Z43" s="211"/>
      <c r="AA43" s="218" t="s">
        <v>1933</v>
      </c>
      <c r="AB43">
        <v>1</v>
      </c>
    </row>
    <row r="44" spans="1:28" ht="15.75" hidden="1" customHeight="1">
      <c r="A44" s="209">
        <v>44</v>
      </c>
      <c r="B44" s="210" t="s">
        <v>5</v>
      </c>
      <c r="C44" s="273" t="s">
        <v>1948</v>
      </c>
      <c r="D44" s="289"/>
      <c r="E44" s="211" t="s">
        <v>1936</v>
      </c>
      <c r="F44" s="273" t="s">
        <v>1949</v>
      </c>
      <c r="G44" s="274"/>
      <c r="H44" s="273"/>
      <c r="I44" s="275"/>
      <c r="J44" s="213" t="s">
        <v>14</v>
      </c>
      <c r="K44" s="214">
        <v>8923</v>
      </c>
      <c r="L44" s="214">
        <v>0</v>
      </c>
      <c r="M44" s="214">
        <v>4939</v>
      </c>
      <c r="N44" s="214">
        <v>4116</v>
      </c>
      <c r="O44" s="214">
        <v>6586</v>
      </c>
      <c r="P44" s="214">
        <v>0</v>
      </c>
      <c r="Q44" s="214">
        <v>0</v>
      </c>
      <c r="R44" s="214">
        <v>0</v>
      </c>
      <c r="S44" s="214">
        <v>0</v>
      </c>
      <c r="T44" s="214">
        <v>0</v>
      </c>
      <c r="U44" s="214"/>
      <c r="V44" s="226"/>
      <c r="W44" s="276">
        <f t="shared" si="16"/>
        <v>24564</v>
      </c>
      <c r="X44" s="205">
        <f t="shared" si="17"/>
        <v>24564</v>
      </c>
      <c r="Y44" s="1" t="s">
        <v>1932</v>
      </c>
      <c r="Z44" s="211"/>
      <c r="AA44" s="218" t="s">
        <v>1933</v>
      </c>
      <c r="AB44">
        <v>1</v>
      </c>
    </row>
    <row r="45" spans="1:28" ht="15.75" hidden="1" customHeight="1">
      <c r="A45" s="193">
        <v>45</v>
      </c>
      <c r="B45" s="210" t="s">
        <v>5</v>
      </c>
      <c r="C45" s="273" t="s">
        <v>1948</v>
      </c>
      <c r="D45" s="289"/>
      <c r="E45" s="211" t="s">
        <v>1936</v>
      </c>
      <c r="F45" s="273" t="s">
        <v>1949</v>
      </c>
      <c r="G45" s="274"/>
      <c r="H45" s="273"/>
      <c r="I45" s="275"/>
      <c r="J45" s="213" t="s">
        <v>1951</v>
      </c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26"/>
      <c r="W45" s="276">
        <f t="shared" si="16"/>
        <v>0</v>
      </c>
      <c r="X45" s="205">
        <f t="shared" si="17"/>
        <v>0</v>
      </c>
      <c r="Y45" s="1" t="s">
        <v>1932</v>
      </c>
      <c r="Z45" s="211"/>
      <c r="AA45" s="218" t="s">
        <v>1933</v>
      </c>
      <c r="AB45">
        <v>1</v>
      </c>
    </row>
    <row r="46" spans="1:28" ht="15.75" hidden="1" customHeight="1">
      <c r="A46" s="209">
        <v>46</v>
      </c>
      <c r="B46" s="210" t="s">
        <v>5</v>
      </c>
      <c r="C46" s="273" t="s">
        <v>1948</v>
      </c>
      <c r="D46" s="289"/>
      <c r="E46" s="211" t="s">
        <v>1936</v>
      </c>
      <c r="F46" s="273" t="s">
        <v>1949</v>
      </c>
      <c r="G46" s="274"/>
      <c r="H46" s="273"/>
      <c r="I46" s="275"/>
      <c r="J46" s="213" t="s">
        <v>13</v>
      </c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26"/>
      <c r="W46" s="276">
        <f t="shared" si="16"/>
        <v>0</v>
      </c>
      <c r="X46" s="205">
        <f t="shared" si="17"/>
        <v>0</v>
      </c>
      <c r="Y46" s="1" t="s">
        <v>1932</v>
      </c>
      <c r="Z46" s="211"/>
      <c r="AA46" s="218" t="s">
        <v>1933</v>
      </c>
      <c r="AB46">
        <v>1</v>
      </c>
    </row>
    <row r="47" spans="1:28" ht="15.75" hidden="1" customHeight="1">
      <c r="A47" s="209">
        <v>47</v>
      </c>
      <c r="B47" s="210" t="s">
        <v>5</v>
      </c>
      <c r="C47" s="273" t="s">
        <v>1948</v>
      </c>
      <c r="D47" s="289"/>
      <c r="E47" s="211" t="s">
        <v>1936</v>
      </c>
      <c r="F47" s="273" t="s">
        <v>1949</v>
      </c>
      <c r="G47" s="274"/>
      <c r="H47" s="273"/>
      <c r="I47" s="275"/>
      <c r="J47" s="213" t="s">
        <v>15</v>
      </c>
      <c r="K47" s="214"/>
      <c r="L47" s="214">
        <f>IF(L43=0,0,IF(L44=0,0,L44/L43))</f>
        <v>0</v>
      </c>
      <c r="M47" s="214">
        <f>IF(M43=0,0,IF(M44=0,0,M44/M43))</f>
        <v>18.851145038167939</v>
      </c>
      <c r="N47" s="214">
        <f>IF(N43=0,0,IF(N44=0,0,N44/N43))</f>
        <v>24.355029585798817</v>
      </c>
      <c r="O47" s="214">
        <f>IF(O43=0,0,IF(O44=0,0,O44/O43))</f>
        <v>25.626459143968873</v>
      </c>
      <c r="P47" s="214">
        <f>IF(P43=0,0,IF(P44=0,0,P44/P43))</f>
        <v>0</v>
      </c>
      <c r="Q47" s="214">
        <v>0</v>
      </c>
      <c r="R47" s="214">
        <v>0</v>
      </c>
      <c r="S47" s="214">
        <f>IF(S43=0,0,IF(S44=0,0,S44/S43))</f>
        <v>0</v>
      </c>
      <c r="T47" s="214">
        <f>IF(T43=0,0,IF(T44=0,0,T44/T43))</f>
        <v>0</v>
      </c>
      <c r="U47" s="214">
        <f>IF(U43=0,0,IF(U44=0,0,U44/U43))</f>
        <v>0</v>
      </c>
      <c r="V47" s="226">
        <f>IF(V43=0,0,IF(V44=0,0,V44/V43))</f>
        <v>0</v>
      </c>
      <c r="W47" s="276">
        <f>IF(W43=0,0,IF(W44=0,0,W44/W43))</f>
        <v>21.212435233160623</v>
      </c>
      <c r="X47" s="205">
        <f t="shared" si="17"/>
        <v>68.832633767935633</v>
      </c>
      <c r="Y47" s="1" t="s">
        <v>1932</v>
      </c>
      <c r="Z47" s="211"/>
      <c r="AA47" s="218" t="s">
        <v>1933</v>
      </c>
      <c r="AB47">
        <v>2</v>
      </c>
    </row>
    <row r="48" spans="1:28" ht="15.75" hidden="1" customHeight="1" thickBot="1">
      <c r="A48" s="209">
        <v>48</v>
      </c>
      <c r="B48" s="250" t="s">
        <v>5</v>
      </c>
      <c r="C48" s="277" t="s">
        <v>1948</v>
      </c>
      <c r="D48" s="290"/>
      <c r="E48" s="234" t="s">
        <v>1936</v>
      </c>
      <c r="F48" s="277" t="s">
        <v>1949</v>
      </c>
      <c r="G48" s="278"/>
      <c r="H48" s="277"/>
      <c r="I48" s="279"/>
      <c r="J48" s="252" t="s">
        <v>16</v>
      </c>
      <c r="K48" s="253">
        <f t="shared" ref="K48:P48" si="18">IF(K43=0,0,(K44+K46-K45)/K43)</f>
        <v>18.985106382978724</v>
      </c>
      <c r="L48" s="253">
        <f t="shared" si="18"/>
        <v>0</v>
      </c>
      <c r="M48" s="253">
        <f t="shared" si="18"/>
        <v>18.851145038167939</v>
      </c>
      <c r="N48" s="253">
        <f t="shared" si="18"/>
        <v>24.355029585798817</v>
      </c>
      <c r="O48" s="253">
        <f t="shared" si="18"/>
        <v>25.626459143968873</v>
      </c>
      <c r="P48" s="253">
        <f t="shared" si="18"/>
        <v>0</v>
      </c>
      <c r="Q48" s="253">
        <v>0</v>
      </c>
      <c r="R48" s="253">
        <v>0</v>
      </c>
      <c r="S48" s="253">
        <f>IF(S43=0,0,(S44+S46-S45)/S43)</f>
        <v>0</v>
      </c>
      <c r="T48" s="253">
        <f>IF(T43=0,0,(T44+T46-T45)/T43)</f>
        <v>0</v>
      </c>
      <c r="U48" s="253">
        <f>IF(U43=0,0,(U44+U46-U45)/U43)</f>
        <v>0</v>
      </c>
      <c r="V48" s="255">
        <f>IF(V43=0,0,(V44+V46-V45)/V43)</f>
        <v>0</v>
      </c>
      <c r="W48" s="256">
        <f>IF(W43=0,0,(W44+W46-W45)/W43)</f>
        <v>21.212435233160623</v>
      </c>
      <c r="X48" s="280">
        <f>SUM(K48:P48)</f>
        <v>87.817740150914346</v>
      </c>
      <c r="Y48" s="1" t="s">
        <v>1932</v>
      </c>
      <c r="Z48" s="234"/>
      <c r="AA48" s="235" t="s">
        <v>1933</v>
      </c>
      <c r="AB48">
        <v>2</v>
      </c>
    </row>
    <row r="49" spans="1:29" ht="15" customHeight="1">
      <c r="A49" s="193">
        <v>49</v>
      </c>
      <c r="B49" s="291" t="s">
        <v>5</v>
      </c>
      <c r="C49" s="267" t="s">
        <v>1931</v>
      </c>
      <c r="D49" s="267"/>
      <c r="E49" s="286" t="s">
        <v>17</v>
      </c>
      <c r="F49" s="269" t="s">
        <v>1952</v>
      </c>
      <c r="G49" s="285"/>
      <c r="H49" s="267"/>
      <c r="I49" s="286"/>
      <c r="J49" s="292" t="s">
        <v>18</v>
      </c>
      <c r="K49" s="239">
        <f>'[1]GEOPARTS Ballast'!C117</f>
        <v>1544</v>
      </c>
      <c r="L49" s="239">
        <f>'[1]GEOPARTS Ballast'!D117</f>
        <v>3926</v>
      </c>
      <c r="M49" s="239">
        <f>'[1]GEOPARTS Ballast'!E117</f>
        <v>3971</v>
      </c>
      <c r="N49" s="239">
        <f>'[1]GEOPARTS Ballast'!F117</f>
        <v>2914</v>
      </c>
      <c r="O49" s="239">
        <f>'[1]GEOPARTS Ballast'!G117</f>
        <v>2078</v>
      </c>
      <c r="P49" s="239">
        <f>'[1]GEOPARTS Ballast'!H117</f>
        <v>2541</v>
      </c>
      <c r="Q49" s="239">
        <f>'[1]GEOPARTS Ballast'!I117</f>
        <v>1388</v>
      </c>
      <c r="R49" s="239">
        <f>'[1]GEOPARTS Ballast'!J117</f>
        <v>1706</v>
      </c>
      <c r="S49" s="239">
        <f>'[1]GEOPARTS Ballast'!K117</f>
        <v>3192</v>
      </c>
      <c r="T49" s="239">
        <f>'[1]GEOPARTS Ballast'!L117</f>
        <v>2498</v>
      </c>
      <c r="U49" s="239">
        <f>'[1]GEOPARTS Ballast'!M117</f>
        <v>2172</v>
      </c>
      <c r="V49" s="239">
        <f>'[1]GEOPARTS Ballast'!N117</f>
        <v>1139</v>
      </c>
      <c r="W49" s="293">
        <f>SUM(K49:V49)</f>
        <v>29069</v>
      </c>
      <c r="X49" s="205">
        <f>SUM(K49:P49)</f>
        <v>16974</v>
      </c>
      <c r="Y49" s="270" t="s">
        <v>1953</v>
      </c>
      <c r="Z49" s="286"/>
      <c r="AA49" s="294" t="s">
        <v>1954</v>
      </c>
      <c r="AB49">
        <v>1</v>
      </c>
    </row>
    <row r="50" spans="1:29" ht="15" customHeight="1">
      <c r="A50" s="209">
        <v>50</v>
      </c>
      <c r="B50" s="295" t="s">
        <v>5</v>
      </c>
      <c r="C50" s="273" t="s">
        <v>1931</v>
      </c>
      <c r="D50" s="273"/>
      <c r="E50" s="275" t="s">
        <v>17</v>
      </c>
      <c r="F50" s="273" t="s">
        <v>1952</v>
      </c>
      <c r="G50" s="274"/>
      <c r="H50" s="273"/>
      <c r="I50" s="275"/>
      <c r="J50" s="261" t="s">
        <v>10</v>
      </c>
      <c r="K50" s="214">
        <f>'[1]GEOPARTS Ballast'!C118</f>
        <v>44534</v>
      </c>
      <c r="L50" s="214">
        <f>'[1]GEOPARTS Ballast'!D118</f>
        <v>113272</v>
      </c>
      <c r="M50" s="214">
        <f>'[1]GEOPARTS Ballast'!E118</f>
        <v>117285</v>
      </c>
      <c r="N50" s="214">
        <f>'[1]GEOPARTS Ballast'!F118</f>
        <v>85964</v>
      </c>
      <c r="O50" s="214">
        <f>'[1]GEOPARTS Ballast'!G118</f>
        <v>62039</v>
      </c>
      <c r="P50" s="214">
        <f>'[1]GEOPARTS Ballast'!H118</f>
        <v>75463</v>
      </c>
      <c r="Q50" s="214">
        <f>'[1]GEOPARTS Ballast'!I118</f>
        <v>39906</v>
      </c>
      <c r="R50" s="214">
        <f>'[1]GEOPARTS Ballast'!J118</f>
        <v>50940</v>
      </c>
      <c r="S50" s="214">
        <f>'[1]GEOPARTS Ballast'!K118</f>
        <v>95935</v>
      </c>
      <c r="T50" s="214">
        <f>'[1]GEOPARTS Ballast'!L118</f>
        <v>73862</v>
      </c>
      <c r="U50" s="214">
        <f>'[1]GEOPARTS Ballast'!M118</f>
        <v>64110</v>
      </c>
      <c r="V50" s="214">
        <f>'[1]GEOPARTS Ballast'!N118</f>
        <v>34978</v>
      </c>
      <c r="W50" s="227">
        <f>SUM(K50:V50)</f>
        <v>858288</v>
      </c>
      <c r="X50" s="205">
        <f>SUM(K50:P50)</f>
        <v>498557</v>
      </c>
      <c r="Y50" s="274" t="s">
        <v>1953</v>
      </c>
      <c r="Z50" s="275"/>
      <c r="AA50" s="296" t="s">
        <v>1954</v>
      </c>
      <c r="AB50">
        <v>1</v>
      </c>
    </row>
    <row r="51" spans="1:29" ht="15" customHeight="1">
      <c r="A51" s="209">
        <v>51</v>
      </c>
      <c r="B51" s="295" t="s">
        <v>5</v>
      </c>
      <c r="C51" s="273" t="s">
        <v>1931</v>
      </c>
      <c r="D51" s="273"/>
      <c r="E51" s="275" t="s">
        <v>17</v>
      </c>
      <c r="F51" s="273" t="s">
        <v>1952</v>
      </c>
      <c r="G51" s="274"/>
      <c r="H51" s="273"/>
      <c r="I51" s="275"/>
      <c r="J51" s="261" t="s">
        <v>14</v>
      </c>
      <c r="K51" s="214">
        <f>'[1]GEOPARTS Ballast'!C121</f>
        <v>578090.73419999995</v>
      </c>
      <c r="L51" s="214">
        <f>'[1]GEOPARTS Ballast'!D121</f>
        <v>1383348.4113</v>
      </c>
      <c r="M51" s="214">
        <f>'[1]GEOPARTS Ballast'!E121</f>
        <v>1512255.7879999999</v>
      </c>
      <c r="N51" s="214">
        <f>'[1]GEOPARTS Ballast'!F121</f>
        <v>1230152.2920000001</v>
      </c>
      <c r="O51" s="214">
        <f>'[1]GEOPARTS Ballast'!G121</f>
        <v>847239.01009999996</v>
      </c>
      <c r="P51" s="214">
        <f>'[1]GEOPARTS Ballast'!H121</f>
        <v>977496.18839999998</v>
      </c>
      <c r="Q51" s="214">
        <f>'[1]GEOPARTS Ballast'!I121</f>
        <v>582787.62900000007</v>
      </c>
      <c r="R51" s="214">
        <f>'[1]GEOPARTS Ballast'!J121</f>
        <v>675817.34479999996</v>
      </c>
      <c r="S51" s="214">
        <f>'[1]GEOPARTS Ballast'!K121</f>
        <v>1124849.6402</v>
      </c>
      <c r="T51" s="214">
        <f>'[1]GEOPARTS Ballast'!L121</f>
        <v>1150645.7664000001</v>
      </c>
      <c r="U51" s="214">
        <f>'[1]GEOPARTS Ballast'!M121</f>
        <v>685261.9216</v>
      </c>
      <c r="V51" s="214">
        <f>'[1]GEOPARTS Ballast'!N121</f>
        <v>480359.99739999999</v>
      </c>
      <c r="W51" s="227">
        <f>SUM(K51:V51)</f>
        <v>11228304.7234</v>
      </c>
      <c r="X51" s="205">
        <f>SUM(K51:P51)</f>
        <v>6528582.4240000006</v>
      </c>
      <c r="Y51" s="274" t="s">
        <v>1953</v>
      </c>
      <c r="Z51" s="275"/>
      <c r="AA51" s="296" t="s">
        <v>1954</v>
      </c>
      <c r="AB51">
        <v>1</v>
      </c>
    </row>
    <row r="52" spans="1:29" ht="15" customHeight="1">
      <c r="A52" s="209">
        <v>52</v>
      </c>
      <c r="B52" s="295" t="s">
        <v>5</v>
      </c>
      <c r="C52" s="273" t="s">
        <v>1931</v>
      </c>
      <c r="D52" s="273"/>
      <c r="E52" s="275" t="s">
        <v>17</v>
      </c>
      <c r="F52" s="273" t="s">
        <v>1952</v>
      </c>
      <c r="G52" s="274"/>
      <c r="H52" s="273"/>
      <c r="I52" s="275"/>
      <c r="J52" s="261" t="s">
        <v>19</v>
      </c>
      <c r="K52" s="214">
        <f>IF(K50=0,0,IF(K49=0,0,K50/K49))</f>
        <v>28.843264248704664</v>
      </c>
      <c r="L52" s="214">
        <f t="shared" ref="L52:V52" si="19">IF(L50=0,0,IF(L49=0,0,L50/L49))</f>
        <v>28.851757514009169</v>
      </c>
      <c r="M52" s="214">
        <f t="shared" si="19"/>
        <v>29.535381515990935</v>
      </c>
      <c r="N52" s="214">
        <f t="shared" si="19"/>
        <v>29.500343170899107</v>
      </c>
      <c r="O52" s="214">
        <f t="shared" si="19"/>
        <v>29.855149181905677</v>
      </c>
      <c r="P52" s="248">
        <f t="shared" si="19"/>
        <v>29.698150334513972</v>
      </c>
      <c r="Q52" s="214">
        <f t="shared" si="19"/>
        <v>28.750720461095099</v>
      </c>
      <c r="R52" s="297">
        <f t="shared" si="19"/>
        <v>29.859320046893316</v>
      </c>
      <c r="S52" s="214">
        <f t="shared" si="19"/>
        <v>30.05482456140351</v>
      </c>
      <c r="T52" s="297">
        <f t="shared" si="19"/>
        <v>29.568454763811047</v>
      </c>
      <c r="U52" s="214">
        <f t="shared" si="19"/>
        <v>29.516574585635357</v>
      </c>
      <c r="V52" s="226">
        <f t="shared" si="19"/>
        <v>30.70939420544337</v>
      </c>
      <c r="W52" s="276">
        <f>IF(W50=0,0,IF(W49=0,0,W50/W49))</f>
        <v>29.525886683408441</v>
      </c>
      <c r="X52" s="297">
        <f>SUM(K52:P52)</f>
        <v>176.28404596602354</v>
      </c>
      <c r="Y52" s="274" t="s">
        <v>1953</v>
      </c>
      <c r="Z52" s="275"/>
      <c r="AA52" s="296" t="s">
        <v>1954</v>
      </c>
      <c r="AB52">
        <v>2</v>
      </c>
    </row>
    <row r="53" spans="1:29" ht="15.75" customHeight="1" thickBot="1">
      <c r="A53" s="193">
        <v>53</v>
      </c>
      <c r="B53" s="298" t="s">
        <v>5</v>
      </c>
      <c r="C53" s="277" t="s">
        <v>1931</v>
      </c>
      <c r="D53" s="277"/>
      <c r="E53" s="279" t="s">
        <v>17</v>
      </c>
      <c r="F53" s="277" t="s">
        <v>1952</v>
      </c>
      <c r="G53" s="278"/>
      <c r="H53" s="277"/>
      <c r="I53" s="279"/>
      <c r="J53" s="252" t="s">
        <v>16</v>
      </c>
      <c r="K53" s="253">
        <f>IF(K50=0,0,IF(K51=0,0,K51/K50))</f>
        <v>12.980885036152152</v>
      </c>
      <c r="L53" s="253">
        <f t="shared" ref="L53:V53" si="20">IF(L50=0,0,IF(L51=0,0,L51/L50))</f>
        <v>12.212624578889752</v>
      </c>
      <c r="M53" s="253">
        <f t="shared" si="20"/>
        <v>12.893855036875985</v>
      </c>
      <c r="N53" s="253">
        <f t="shared" si="20"/>
        <v>14.310086687450562</v>
      </c>
      <c r="O53" s="253">
        <f t="shared" si="20"/>
        <v>13.656554910620738</v>
      </c>
      <c r="P53" s="254">
        <f t="shared" si="20"/>
        <v>12.953317366126447</v>
      </c>
      <c r="Q53" s="253">
        <f t="shared" si="20"/>
        <v>14.604010148849799</v>
      </c>
      <c r="R53" s="299">
        <f t="shared" si="20"/>
        <v>13.266928637612876</v>
      </c>
      <c r="S53" s="253">
        <f t="shared" si="20"/>
        <v>11.725122637202272</v>
      </c>
      <c r="T53" s="299">
        <f t="shared" si="20"/>
        <v>15.578318572472991</v>
      </c>
      <c r="U53" s="253">
        <f t="shared" si="20"/>
        <v>10.688846070815785</v>
      </c>
      <c r="V53" s="255">
        <f t="shared" si="20"/>
        <v>13.733203653725198</v>
      </c>
      <c r="W53" s="256">
        <f>IF(W50=0,0,IF(W51=0,0,W51/W50))</f>
        <v>13.082211010057231</v>
      </c>
      <c r="X53" s="299">
        <f>IF(X50=0,0,IF(X51=0,0,X51/X50))</f>
        <v>13.094956893594915</v>
      </c>
      <c r="Y53" s="278" t="s">
        <v>1953</v>
      </c>
      <c r="Z53" s="279"/>
      <c r="AA53" s="300" t="s">
        <v>1954</v>
      </c>
      <c r="AB53">
        <v>2</v>
      </c>
    </row>
    <row r="54" spans="1:29" ht="15" hidden="1" customHeight="1">
      <c r="A54" s="209">
        <v>54</v>
      </c>
      <c r="B54" s="291" t="s">
        <v>5</v>
      </c>
      <c r="C54" s="267" t="s">
        <v>1955</v>
      </c>
      <c r="D54" s="267"/>
      <c r="E54" s="286" t="s">
        <v>17</v>
      </c>
      <c r="F54" s="267" t="s">
        <v>1956</v>
      </c>
      <c r="G54" s="285" t="s">
        <v>1957</v>
      </c>
      <c r="H54" s="267"/>
      <c r="I54" s="286"/>
      <c r="J54" s="301" t="s">
        <v>18</v>
      </c>
      <c r="K54" s="201">
        <f>'[1]GEOPARTS Lot 4'!C130</f>
        <v>484</v>
      </c>
      <c r="L54" s="201">
        <f>'[1]GEOPARTS Lot 4'!D130</f>
        <v>224</v>
      </c>
      <c r="M54" s="201">
        <f>'[1]GEOPARTS Lot 4'!E130</f>
        <v>338</v>
      </c>
      <c r="N54" s="201">
        <f>'[1]GEOPARTS Lot 4'!F130</f>
        <v>275</v>
      </c>
      <c r="O54" s="201">
        <f>'[1]GEOPARTS Lot 4'!G130</f>
        <v>120</v>
      </c>
      <c r="P54" s="201">
        <f>'[1]GEOPARTS Lot 4'!H130</f>
        <v>413</v>
      </c>
      <c r="Q54" s="201">
        <f>'[1]GEOPARTS Lot 4'!I130</f>
        <v>200</v>
      </c>
      <c r="R54" s="201">
        <f>'[1]GEOPARTS Lot 4'!J130</f>
        <v>258</v>
      </c>
      <c r="S54" s="201">
        <f>'[1]GEOPARTS Lot 4'!K130</f>
        <v>297</v>
      </c>
      <c r="T54" s="201">
        <f>'[1]GEOPARTS Lot 4'!L130</f>
        <v>238</v>
      </c>
      <c r="U54" s="201">
        <f>'[1]GEOPARTS Lot 4'!M130</f>
        <v>147</v>
      </c>
      <c r="V54" s="201">
        <f>'[1]GEOPARTS Lot 4'!N130</f>
        <v>79</v>
      </c>
      <c r="W54" s="288">
        <f>SUM(K54:V54)</f>
        <v>3073</v>
      </c>
      <c r="X54" s="205">
        <f>SUM(K54:P54)</f>
        <v>1854</v>
      </c>
      <c r="Y54" s="285" t="s">
        <v>1953</v>
      </c>
      <c r="Z54" s="286"/>
      <c r="AA54" s="294" t="s">
        <v>1954</v>
      </c>
      <c r="AB54">
        <v>1</v>
      </c>
      <c r="AC54" s="7"/>
    </row>
    <row r="55" spans="1:29" ht="15" hidden="1" customHeight="1">
      <c r="A55" s="209">
        <v>55</v>
      </c>
      <c r="B55" s="295" t="s">
        <v>5</v>
      </c>
      <c r="C55" s="273" t="s">
        <v>1955</v>
      </c>
      <c r="D55" s="273"/>
      <c r="E55" s="275" t="s">
        <v>17</v>
      </c>
      <c r="F55" s="273" t="s">
        <v>1956</v>
      </c>
      <c r="G55" s="274" t="s">
        <v>1957</v>
      </c>
      <c r="H55" s="273"/>
      <c r="I55" s="275"/>
      <c r="J55" s="261" t="s">
        <v>10</v>
      </c>
      <c r="K55" s="201">
        <f>'[1]GEOPARTS Lot 4'!C131</f>
        <v>10845</v>
      </c>
      <c r="L55" s="201">
        <f>'[1]GEOPARTS Lot 4'!D131</f>
        <v>4465</v>
      </c>
      <c r="M55" s="201">
        <f>'[1]GEOPARTS Lot 4'!E131</f>
        <v>6958</v>
      </c>
      <c r="N55" s="201">
        <f>'[1]GEOPARTS Lot 4'!F131</f>
        <v>6374</v>
      </c>
      <c r="O55" s="201">
        <f>'[1]GEOPARTS Lot 4'!G131</f>
        <v>2676</v>
      </c>
      <c r="P55" s="201">
        <f>'[1]GEOPARTS Lot 4'!H131</f>
        <v>9645</v>
      </c>
      <c r="Q55" s="201">
        <f>'[1]GEOPARTS Lot 4'!I131</f>
        <v>4430</v>
      </c>
      <c r="R55" s="201">
        <f>'[1]GEOPARTS Lot 4'!J131</f>
        <v>5988</v>
      </c>
      <c r="S55" s="201">
        <f>'[1]GEOPARTS Lot 4'!K131</f>
        <v>6442</v>
      </c>
      <c r="T55" s="201">
        <f>'[1]GEOPARTS Lot 4'!L131</f>
        <v>5366</v>
      </c>
      <c r="U55" s="201">
        <f>'[1]GEOPARTS Lot 4'!M131</f>
        <v>3162</v>
      </c>
      <c r="V55" s="201">
        <f>'[1]GEOPARTS Lot 4'!N131</f>
        <v>1741</v>
      </c>
      <c r="W55" s="276">
        <f>SUM(K55:V55)</f>
        <v>68092</v>
      </c>
      <c r="X55" s="205">
        <f>SUM(K55:P55)</f>
        <v>40963</v>
      </c>
      <c r="Y55" s="274" t="s">
        <v>1953</v>
      </c>
      <c r="Z55" s="275"/>
      <c r="AA55" s="296" t="s">
        <v>1954</v>
      </c>
      <c r="AB55">
        <v>1</v>
      </c>
      <c r="AC55" s="7"/>
    </row>
    <row r="56" spans="1:29" ht="15" hidden="1" customHeight="1">
      <c r="A56" s="209">
        <v>56</v>
      </c>
      <c r="B56" s="295" t="s">
        <v>5</v>
      </c>
      <c r="C56" s="273" t="s">
        <v>1955</v>
      </c>
      <c r="D56" s="273"/>
      <c r="E56" s="275" t="s">
        <v>17</v>
      </c>
      <c r="F56" s="273" t="s">
        <v>1956</v>
      </c>
      <c r="G56" s="274" t="s">
        <v>1957</v>
      </c>
      <c r="H56" s="273"/>
      <c r="I56" s="275"/>
      <c r="J56" s="261" t="s">
        <v>1958</v>
      </c>
      <c r="K56" s="201">
        <f>'[1]GEOPARTS Lot 4'!C132</f>
        <v>42024</v>
      </c>
      <c r="L56" s="201">
        <f>'[1]GEOPARTS Lot 4'!D132</f>
        <v>16789</v>
      </c>
      <c r="M56" s="201">
        <f>'[1]GEOPARTS Lot 4'!E132</f>
        <v>16409</v>
      </c>
      <c r="N56" s="201">
        <f>'[1]GEOPARTS Lot 4'!F132</f>
        <v>16607</v>
      </c>
      <c r="O56" s="201">
        <f>'[1]GEOPARTS Lot 4'!G132</f>
        <v>10359</v>
      </c>
      <c r="P56" s="201">
        <f>'[1]GEOPARTS Lot 4'!H132</f>
        <v>38379</v>
      </c>
      <c r="Q56" s="201">
        <f>'[1]GEOPARTS Lot 4'!I132</f>
        <v>16283</v>
      </c>
      <c r="R56" s="201">
        <f>'[1]GEOPARTS Lot 4'!J132</f>
        <v>20792</v>
      </c>
      <c r="S56" s="201">
        <f>'[1]GEOPARTS Lot 4'!K132</f>
        <v>26007</v>
      </c>
      <c r="T56" s="201">
        <f>'[1]GEOPARTS Lot 4'!L132</f>
        <v>20789</v>
      </c>
      <c r="U56" s="201">
        <f>'[1]GEOPARTS Lot 4'!M132</f>
        <v>11245</v>
      </c>
      <c r="V56" s="201">
        <f>'[1]GEOPARTS Lot 4'!N132</f>
        <v>7501</v>
      </c>
      <c r="W56" s="276">
        <f>SUM(K56:V56)</f>
        <v>243184</v>
      </c>
      <c r="X56" s="205">
        <f>SUM(K56:P56)</f>
        <v>140567</v>
      </c>
      <c r="Y56" s="274" t="s">
        <v>1953</v>
      </c>
      <c r="Z56" s="275"/>
      <c r="AA56" s="296" t="s">
        <v>1954</v>
      </c>
      <c r="AB56">
        <v>1</v>
      </c>
      <c r="AC56" s="7"/>
    </row>
    <row r="57" spans="1:29" ht="15" hidden="1" customHeight="1">
      <c r="A57" s="193">
        <v>57</v>
      </c>
      <c r="B57" s="295" t="s">
        <v>5</v>
      </c>
      <c r="C57" s="273" t="s">
        <v>1955</v>
      </c>
      <c r="D57" s="273"/>
      <c r="E57" s="275" t="s">
        <v>17</v>
      </c>
      <c r="F57" s="273" t="s">
        <v>1956</v>
      </c>
      <c r="G57" s="274" t="s">
        <v>1957</v>
      </c>
      <c r="H57" s="273"/>
      <c r="I57" s="275"/>
      <c r="J57" s="261" t="s">
        <v>14</v>
      </c>
      <c r="K57" s="201">
        <f>'[1]GEOPARTS Lot 4'!C134</f>
        <v>281802.15859999997</v>
      </c>
      <c r="L57" s="201">
        <f>'[1]GEOPARTS Lot 4'!D134</f>
        <v>121261.0548</v>
      </c>
      <c r="M57" s="201">
        <f>'[1]GEOPARTS Lot 4'!E134</f>
        <v>199204.56840000002</v>
      </c>
      <c r="N57" s="201">
        <f>'[1]GEOPARTS Lot 4'!F134</f>
        <v>193408.1422</v>
      </c>
      <c r="O57" s="201">
        <f>'[1]GEOPARTS Lot 4'!G134</f>
        <v>93967.034</v>
      </c>
      <c r="P57" s="201">
        <f>'[1]GEOPARTS Lot 4'!H134</f>
        <v>291377.69760000001</v>
      </c>
      <c r="Q57" s="201">
        <f>'[1]GEOPARTS Lot 4'!I134</f>
        <v>119358.70600000001</v>
      </c>
      <c r="R57" s="201">
        <f>'[1]GEOPARTS Lot 4'!J134</f>
        <v>159187.2352</v>
      </c>
      <c r="S57" s="201">
        <f>'[1]GEOPARTS Lot 4'!K134</f>
        <v>179935.01579999999</v>
      </c>
      <c r="T57" s="201">
        <f>'[1]GEOPARTS Lot 4'!L134</f>
        <v>169597.7046</v>
      </c>
      <c r="U57" s="201">
        <f>'[1]GEOPARTS Lot 4'!M134</f>
        <v>90079.242200000008</v>
      </c>
      <c r="V57" s="201">
        <f>'[1]GEOPARTS Lot 4'!N134</f>
        <v>52412.46</v>
      </c>
      <c r="W57" s="276">
        <f>SUM(K57:V57)</f>
        <v>1951591.0193999999</v>
      </c>
      <c r="X57" s="205">
        <f>SUM(K57:P57)</f>
        <v>1181020.6555999999</v>
      </c>
      <c r="Y57" s="274" t="s">
        <v>1953</v>
      </c>
      <c r="Z57" s="275"/>
      <c r="AA57" s="296" t="s">
        <v>1954</v>
      </c>
      <c r="AB57">
        <v>1</v>
      </c>
      <c r="AC57" s="7"/>
    </row>
    <row r="58" spans="1:29" ht="15" hidden="1" customHeight="1">
      <c r="A58" s="209">
        <v>58</v>
      </c>
      <c r="B58" s="295" t="s">
        <v>5</v>
      </c>
      <c r="C58" s="273" t="s">
        <v>1955</v>
      </c>
      <c r="D58" s="273"/>
      <c r="E58" s="275" t="s">
        <v>17</v>
      </c>
      <c r="F58" s="273" t="s">
        <v>1956</v>
      </c>
      <c r="G58" s="274" t="s">
        <v>1957</v>
      </c>
      <c r="H58" s="273"/>
      <c r="I58" s="275"/>
      <c r="J58" s="261" t="s">
        <v>19</v>
      </c>
      <c r="K58" s="214">
        <f>IF(K54=0,0,IF(K55=0,0,K55/K54))</f>
        <v>22.40702479338843</v>
      </c>
      <c r="L58" s="214">
        <f t="shared" ref="L58:U58" si="21">IF(L54=0,0,IF(L55=0,0,L55/L54))</f>
        <v>19.933035714285715</v>
      </c>
      <c r="M58" s="214">
        <f>IF(M54=0,0,IF(M55=0,0,M55/M54))</f>
        <v>20.585798816568047</v>
      </c>
      <c r="N58" s="214">
        <f t="shared" si="21"/>
        <v>23.17818181818182</v>
      </c>
      <c r="O58" s="214">
        <f t="shared" si="21"/>
        <v>22.3</v>
      </c>
      <c r="P58" s="214">
        <f t="shared" si="21"/>
        <v>23.353510895883776</v>
      </c>
      <c r="Q58" s="214">
        <f t="shared" si="21"/>
        <v>22.15</v>
      </c>
      <c r="R58" s="214">
        <f t="shared" si="21"/>
        <v>23.209302325581394</v>
      </c>
      <c r="S58" s="214">
        <f t="shared" si="21"/>
        <v>21.690235690235689</v>
      </c>
      <c r="T58" s="214">
        <f t="shared" si="21"/>
        <v>22.54621848739496</v>
      </c>
      <c r="U58" s="214">
        <f t="shared" si="21"/>
        <v>21.510204081632654</v>
      </c>
      <c r="V58" s="226">
        <f>IF(V56=0,0,IF(V55=0,0,V56/V55))</f>
        <v>4.3084434233199307</v>
      </c>
      <c r="W58" s="276">
        <f>IF(W56=0,0,IF(W55=0,0,W56/W55))</f>
        <v>3.571403395406215</v>
      </c>
      <c r="X58" s="297">
        <f>SUM(K58:P58)</f>
        <v>131.75755203830781</v>
      </c>
      <c r="Y58" s="274" t="s">
        <v>1953</v>
      </c>
      <c r="Z58" s="275"/>
      <c r="AA58" s="296" t="s">
        <v>1954</v>
      </c>
      <c r="AB58">
        <v>2</v>
      </c>
      <c r="AC58" s="7"/>
    </row>
    <row r="59" spans="1:29" ht="15.75" hidden="1" customHeight="1" thickBot="1">
      <c r="A59" s="209">
        <v>59</v>
      </c>
      <c r="B59" s="298" t="s">
        <v>5</v>
      </c>
      <c r="C59" s="277" t="s">
        <v>1955</v>
      </c>
      <c r="D59" s="277"/>
      <c r="E59" s="279" t="s">
        <v>17</v>
      </c>
      <c r="F59" s="277" t="s">
        <v>1956</v>
      </c>
      <c r="G59" s="278" t="s">
        <v>1957</v>
      </c>
      <c r="H59" s="277"/>
      <c r="I59" s="279"/>
      <c r="J59" s="252" t="s">
        <v>16</v>
      </c>
      <c r="K59" s="253">
        <f>IF(K55=0,0,IF(K57=0,0,K57/K55))</f>
        <v>25.984523614568921</v>
      </c>
      <c r="L59" s="253">
        <f t="shared" ref="L59:U59" si="22">IF(L55=0,0,IF(L57=0,0,L57/L55))</f>
        <v>27.15813097424412</v>
      </c>
      <c r="M59" s="253">
        <f t="shared" si="22"/>
        <v>28.629572923253811</v>
      </c>
      <c r="N59" s="253">
        <f t="shared" si="22"/>
        <v>30.343291841857546</v>
      </c>
      <c r="O59" s="253">
        <f t="shared" si="22"/>
        <v>35.114736173393126</v>
      </c>
      <c r="P59" s="253">
        <f t="shared" si="22"/>
        <v>30.21023303265941</v>
      </c>
      <c r="Q59" s="253">
        <f t="shared" si="22"/>
        <v>26.943274492099324</v>
      </c>
      <c r="R59" s="253">
        <f t="shared" si="22"/>
        <v>26.584374615898462</v>
      </c>
      <c r="S59" s="253">
        <f t="shared" si="22"/>
        <v>27.931545451723068</v>
      </c>
      <c r="T59" s="253">
        <f t="shared" si="22"/>
        <v>31.605982966828176</v>
      </c>
      <c r="U59" s="253">
        <f t="shared" si="22"/>
        <v>28.488058886780522</v>
      </c>
      <c r="V59" s="255">
        <f>IF(V56=0,0,IF(V57=0,0,V57/V56))</f>
        <v>6.9873963471537124</v>
      </c>
      <c r="W59" s="256">
        <f>IF(W56=0,0,IF(W57=0,0,W57/W56))</f>
        <v>8.0251620970129611</v>
      </c>
      <c r="X59" s="299">
        <f>IF(X56=0,0,IF(X57=0,0,X57/X56))</f>
        <v>8.4018343964088302</v>
      </c>
      <c r="Y59" s="278" t="s">
        <v>1953</v>
      </c>
      <c r="Z59" s="279"/>
      <c r="AA59" s="300" t="s">
        <v>1954</v>
      </c>
      <c r="AB59">
        <v>2</v>
      </c>
      <c r="AC59" s="7"/>
    </row>
    <row r="60" spans="1:29" ht="15" hidden="1" customHeight="1">
      <c r="A60" s="209">
        <v>60</v>
      </c>
      <c r="B60" s="302" t="s">
        <v>5</v>
      </c>
      <c r="C60" s="303" t="s">
        <v>1948</v>
      </c>
      <c r="D60" s="304"/>
      <c r="E60" s="305" t="s">
        <v>17</v>
      </c>
      <c r="F60" s="303" t="s">
        <v>1959</v>
      </c>
      <c r="G60" s="306" t="s">
        <v>1957</v>
      </c>
      <c r="H60" s="304"/>
      <c r="I60" s="307"/>
      <c r="J60" s="308" t="s">
        <v>18</v>
      </c>
      <c r="K60" s="309">
        <f>'[1]GEOPARTS Lot 4'!C117-'[1]GEOPARTS Lot 4'!C130</f>
        <v>1031</v>
      </c>
      <c r="L60" s="309">
        <f>'[1]GEOPARTS Lot 4'!D117-'[1]GEOPARTS Lot 4'!D130</f>
        <v>1008</v>
      </c>
      <c r="M60" s="309">
        <f>'[1]GEOPARTS Lot 4'!E117-'[1]GEOPARTS Lot 4'!E130</f>
        <v>1126</v>
      </c>
      <c r="N60" s="309">
        <f>'[1]GEOPARTS Lot 4'!F117-'[1]GEOPARTS Lot 4'!F130</f>
        <v>1040</v>
      </c>
      <c r="O60" s="309">
        <f>'[1]GEOPARTS Lot 4'!G117-'[1]GEOPARTS Lot 4'!G130</f>
        <v>770</v>
      </c>
      <c r="P60" s="309">
        <f>'[1]GEOPARTS Lot 4'!H117-'[1]GEOPARTS Lot 4'!H130</f>
        <v>1177</v>
      </c>
      <c r="Q60" s="309">
        <f>'[1]GEOPARTS Lot 4'!I117-'[1]GEOPARTS Lot 4'!I130</f>
        <v>873</v>
      </c>
      <c r="R60" s="309">
        <f>'[1]GEOPARTS Lot 4'!J117-'[1]GEOPARTS Lot 4'!J130</f>
        <v>829</v>
      </c>
      <c r="S60" s="309">
        <f>'[1]GEOPARTS Lot 4'!K117-'[1]GEOPARTS Lot 4'!K130</f>
        <v>1111</v>
      </c>
      <c r="T60" s="309">
        <f>'[1]GEOPARTS Lot 4'!L117-'[1]GEOPARTS Lot 4'!L130</f>
        <v>1092</v>
      </c>
      <c r="U60" s="309">
        <f>'[1]GEOPARTS Lot 4'!M117-'[1]GEOPARTS Lot 4'!M130</f>
        <v>974</v>
      </c>
      <c r="V60" s="309">
        <f>'[1]GEOPARTS Lot 4'!N117-'[1]GEOPARTS Lot 4'!N130</f>
        <v>702</v>
      </c>
      <c r="W60" s="310">
        <f>SUM(K60:V60)</f>
        <v>11733</v>
      </c>
      <c r="X60" s="205">
        <f>SUM(K60:P60)</f>
        <v>6152</v>
      </c>
      <c r="Y60" s="283" t="s">
        <v>1953</v>
      </c>
      <c r="Z60" s="311"/>
      <c r="AA60" s="312" t="s">
        <v>1954</v>
      </c>
      <c r="AB60">
        <v>1</v>
      </c>
    </row>
    <row r="61" spans="1:29" ht="15" hidden="1" customHeight="1">
      <c r="A61" s="193">
        <v>61</v>
      </c>
      <c r="B61" s="295" t="s">
        <v>5</v>
      </c>
      <c r="C61" s="273" t="s">
        <v>1948</v>
      </c>
      <c r="D61" s="273"/>
      <c r="E61" s="275" t="s">
        <v>17</v>
      </c>
      <c r="F61" s="273" t="s">
        <v>1959</v>
      </c>
      <c r="G61" s="274" t="s">
        <v>1957</v>
      </c>
      <c r="H61" s="273"/>
      <c r="I61" s="275"/>
      <c r="J61" s="261" t="s">
        <v>10</v>
      </c>
      <c r="K61" s="214">
        <f>'[1]GEOPARTS Lot 4'!C118-'[1]GEOPARTS Lot 4'!C131</f>
        <v>6969</v>
      </c>
      <c r="L61" s="214">
        <f>'[1]GEOPARTS Lot 4'!D118-'[1]GEOPARTS Lot 4'!D131</f>
        <v>6280</v>
      </c>
      <c r="M61" s="214">
        <f>'[1]GEOPARTS Lot 4'!E118-'[1]GEOPARTS Lot 4'!E131</f>
        <v>8238</v>
      </c>
      <c r="N61" s="214">
        <f>'[1]GEOPARTS Lot 4'!F118-'[1]GEOPARTS Lot 4'!F131</f>
        <v>7290</v>
      </c>
      <c r="O61" s="214">
        <f>'[1]GEOPARTS Lot 4'!G118-'[1]GEOPARTS Lot 4'!G131</f>
        <v>5204</v>
      </c>
      <c r="P61" s="214">
        <f>'[1]GEOPARTS Lot 4'!H118-'[1]GEOPARTS Lot 4'!H131</f>
        <v>6983</v>
      </c>
      <c r="Q61" s="214">
        <f>'[1]GEOPARTS Lot 4'!I118-'[1]GEOPARTS Lot 4'!I131</f>
        <v>5222</v>
      </c>
      <c r="R61" s="214">
        <f>'[1]GEOPARTS Lot 4'!J118-'[1]GEOPARTS Lot 4'!J131</f>
        <v>4869</v>
      </c>
      <c r="S61" s="214">
        <f>'[1]GEOPARTS Lot 4'!K118-'[1]GEOPARTS Lot 4'!K131</f>
        <v>6901</v>
      </c>
      <c r="T61" s="214">
        <f>'[1]GEOPARTS Lot 4'!L118-'[1]GEOPARTS Lot 4'!L131</f>
        <v>4277</v>
      </c>
      <c r="U61" s="214">
        <f>'[1]GEOPARTS Lot 4'!M118-'[1]GEOPARTS Lot 4'!M131</f>
        <v>5883</v>
      </c>
      <c r="V61" s="214">
        <f>'[1]GEOPARTS Lot 4'!N118-'[1]GEOPARTS Lot 4'!N131</f>
        <v>4499</v>
      </c>
      <c r="W61" s="276">
        <f>SUM(K61:V61)</f>
        <v>72615</v>
      </c>
      <c r="X61" s="205">
        <f>SUM(K61:P61)</f>
        <v>40964</v>
      </c>
      <c r="Y61" s="273" t="s">
        <v>1953</v>
      </c>
      <c r="Z61" s="273"/>
      <c r="AA61" s="273" t="s">
        <v>1954</v>
      </c>
      <c r="AB61">
        <v>1</v>
      </c>
    </row>
    <row r="62" spans="1:29" ht="15" hidden="1" customHeight="1">
      <c r="A62" s="209">
        <v>62</v>
      </c>
      <c r="B62" s="295" t="s">
        <v>5</v>
      </c>
      <c r="C62" s="273" t="s">
        <v>1948</v>
      </c>
      <c r="D62" s="273"/>
      <c r="E62" s="275" t="s">
        <v>17</v>
      </c>
      <c r="F62" s="273" t="s">
        <v>1959</v>
      </c>
      <c r="G62" s="274" t="s">
        <v>1957</v>
      </c>
      <c r="H62" s="273"/>
      <c r="I62" s="275"/>
      <c r="J62" s="261" t="s">
        <v>14</v>
      </c>
      <c r="K62" s="214">
        <f>'[1]GEOPARTS Lot 4'!C121-'[1]GEOPARTS Lot 4'!C134</f>
        <v>414367.36939999997</v>
      </c>
      <c r="L62" s="214">
        <f>'[1]GEOPARTS Lot 4'!D121-'[1]GEOPARTS Lot 4'!D134</f>
        <v>401520.50659999996</v>
      </c>
      <c r="M62" s="214">
        <f>'[1]GEOPARTS Lot 4'!E121-'[1]GEOPARTS Lot 4'!E134</f>
        <v>457629.49800000002</v>
      </c>
      <c r="N62" s="214">
        <f>'[1]GEOPARTS Lot 4'!F121-'[1]GEOPARTS Lot 4'!F134</f>
        <v>417168.34860000003</v>
      </c>
      <c r="O62" s="214">
        <f>'[1]GEOPARTS Lot 4'!G121-'[1]GEOPARTS Lot 4'!G134</f>
        <v>317919.36200000002</v>
      </c>
      <c r="P62" s="214">
        <f>'[1]GEOPARTS Lot 4'!H121-'[1]GEOPARTS Lot 4'!H134</f>
        <v>506871.06490000006</v>
      </c>
      <c r="Q62" s="214">
        <f>'[1]GEOPARTS Lot 4'!I121-'[1]GEOPARTS Lot 4'!I134</f>
        <v>359267.86549999996</v>
      </c>
      <c r="R62" s="214">
        <f>'[1]GEOPARTS Lot 4'!J121-'[1]GEOPARTS Lot 4'!J134</f>
        <v>386505.70919999992</v>
      </c>
      <c r="S62" s="214">
        <f>'[1]GEOPARTS Lot 4'!K121-'[1]GEOPARTS Lot 4'!K134</f>
        <v>454180.60980000003</v>
      </c>
      <c r="T62" s="214">
        <f>'[1]GEOPARTS Lot 4'!L121-'[1]GEOPARTS Lot 4'!L134</f>
        <v>415127.15820000001</v>
      </c>
      <c r="U62" s="214">
        <f>'[1]GEOPARTS Lot 4'!M121-'[1]GEOPARTS Lot 4'!M134</f>
        <v>407946.94999999995</v>
      </c>
      <c r="V62" s="214">
        <f>'[1]GEOPARTS Lot 4'!N121-'[1]GEOPARTS Lot 4'!N134</f>
        <v>281826.02600000001</v>
      </c>
      <c r="W62" s="276">
        <f>SUM(K62:V62)</f>
        <v>4820330.4681999991</v>
      </c>
      <c r="X62" s="205">
        <f>SUM(K62:P62)</f>
        <v>2515476.1494999998</v>
      </c>
      <c r="Y62" s="273" t="s">
        <v>1953</v>
      </c>
      <c r="Z62" s="273"/>
      <c r="AA62" s="273" t="s">
        <v>1954</v>
      </c>
      <c r="AB62">
        <v>1</v>
      </c>
    </row>
    <row r="63" spans="1:29" ht="15" hidden="1" customHeight="1">
      <c r="A63" s="209">
        <v>63</v>
      </c>
      <c r="B63" s="295" t="s">
        <v>5</v>
      </c>
      <c r="C63" s="273" t="s">
        <v>1948</v>
      </c>
      <c r="D63" s="273"/>
      <c r="E63" s="275" t="s">
        <v>17</v>
      </c>
      <c r="F63" s="273" t="s">
        <v>1959</v>
      </c>
      <c r="G63" s="274" t="s">
        <v>1957</v>
      </c>
      <c r="H63" s="273"/>
      <c r="I63" s="275"/>
      <c r="J63" s="261" t="s">
        <v>19</v>
      </c>
      <c r="K63" s="214">
        <f>IF(K60=0,0,IF(K61=0,0,K61/K60))</f>
        <v>6.7594568380213387</v>
      </c>
      <c r="L63" s="214">
        <f t="shared" ref="L63:W64" si="23">IF(L60=0,0,IF(L61=0,0,L61/L60))</f>
        <v>6.2301587301587302</v>
      </c>
      <c r="M63" s="214">
        <f>IF(M60=0,0,IF(M61=0,0,M61/M60))</f>
        <v>7.3161634103019537</v>
      </c>
      <c r="N63" s="214">
        <f t="shared" si="23"/>
        <v>7.009615384615385</v>
      </c>
      <c r="O63" s="214">
        <f t="shared" si="23"/>
        <v>6.7584415584415583</v>
      </c>
      <c r="P63" s="214">
        <f t="shared" si="23"/>
        <v>5.9328802039082413</v>
      </c>
      <c r="Q63" s="214">
        <f t="shared" si="23"/>
        <v>5.9816723940435281</v>
      </c>
      <c r="R63" s="214">
        <f t="shared" si="23"/>
        <v>5.8733413751507841</v>
      </c>
      <c r="S63" s="214">
        <f t="shared" si="23"/>
        <v>6.2115211521152114</v>
      </c>
      <c r="T63" s="214">
        <f t="shared" si="23"/>
        <v>3.9166666666666665</v>
      </c>
      <c r="U63" s="214">
        <f t="shared" si="23"/>
        <v>6.0400410677618073</v>
      </c>
      <c r="V63" s="226">
        <f>IF(V61=0,0,IF(V60=0,0,V61/V60))</f>
        <v>6.4088319088319086</v>
      </c>
      <c r="W63" s="276">
        <f>IF(W61=0,0,IF(W60=0,0,W61/W60))</f>
        <v>6.188954231654308</v>
      </c>
      <c r="X63" s="297">
        <f>SUM(K63:P63)</f>
        <v>40.006716125447213</v>
      </c>
      <c r="Y63" s="273" t="s">
        <v>1953</v>
      </c>
      <c r="Z63" s="273"/>
      <c r="AA63" s="273" t="s">
        <v>1954</v>
      </c>
      <c r="AB63">
        <v>2</v>
      </c>
    </row>
    <row r="64" spans="1:29" ht="15.75" hidden="1" customHeight="1" thickBot="1">
      <c r="A64" s="209">
        <v>64</v>
      </c>
      <c r="B64" s="313" t="s">
        <v>5</v>
      </c>
      <c r="C64" s="269" t="s">
        <v>1948</v>
      </c>
      <c r="D64" s="304"/>
      <c r="E64" s="271" t="s">
        <v>17</v>
      </c>
      <c r="F64" s="269" t="s">
        <v>1959</v>
      </c>
      <c r="G64" s="314" t="s">
        <v>1957</v>
      </c>
      <c r="H64" s="304"/>
      <c r="I64" s="307"/>
      <c r="J64" s="252" t="s">
        <v>16</v>
      </c>
      <c r="K64" s="253">
        <f>IF(K61=0,0,IF(K62=0,0,K62/K61))</f>
        <v>59.458655388147506</v>
      </c>
      <c r="L64" s="253">
        <f t="shared" si="23"/>
        <v>63.936386401273879</v>
      </c>
      <c r="M64" s="253">
        <f t="shared" si="23"/>
        <v>55.55104369992717</v>
      </c>
      <c r="N64" s="253">
        <f t="shared" si="23"/>
        <v>57.224739176954735</v>
      </c>
      <c r="O64" s="253">
        <f t="shared" si="23"/>
        <v>61.091345503458882</v>
      </c>
      <c r="P64" s="253">
        <f t="shared" si="23"/>
        <v>72.586433466991267</v>
      </c>
      <c r="Q64" s="253">
        <f t="shared" si="23"/>
        <v>68.798901857525848</v>
      </c>
      <c r="R64" s="253">
        <f t="shared" si="23"/>
        <v>79.38092199630313</v>
      </c>
      <c r="S64" s="253">
        <f t="shared" si="23"/>
        <v>65.813738559629044</v>
      </c>
      <c r="T64" s="253">
        <f t="shared" si="23"/>
        <v>97.060359644610713</v>
      </c>
      <c r="U64" s="253">
        <f t="shared" si="23"/>
        <v>69.343353731089579</v>
      </c>
      <c r="V64" s="255">
        <f t="shared" si="23"/>
        <v>62.641926205823516</v>
      </c>
      <c r="W64" s="256">
        <f t="shared" si="23"/>
        <v>66.382021182951163</v>
      </c>
      <c r="X64" s="299">
        <f>IF(X61=0,0,IF(X62=0,0,X62/X61))</f>
        <v>61.406995154281802</v>
      </c>
      <c r="Y64" s="315" t="s">
        <v>1953</v>
      </c>
      <c r="Z64" s="316"/>
      <c r="AA64" s="317" t="s">
        <v>1954</v>
      </c>
      <c r="AB64">
        <v>2</v>
      </c>
    </row>
    <row r="65" spans="1:28" ht="15" hidden="1" customHeight="1">
      <c r="A65" s="193">
        <v>65</v>
      </c>
      <c r="B65" s="291" t="s">
        <v>5</v>
      </c>
      <c r="C65" s="267" t="s">
        <v>1948</v>
      </c>
      <c r="D65" s="267"/>
      <c r="E65" s="286" t="s">
        <v>17</v>
      </c>
      <c r="F65" s="267" t="s">
        <v>1959</v>
      </c>
      <c r="G65" s="285" t="s">
        <v>1960</v>
      </c>
      <c r="H65" s="267"/>
      <c r="I65" s="286"/>
      <c r="J65" s="292" t="s">
        <v>18</v>
      </c>
      <c r="K65" s="239">
        <f>'[1]GEOPARTS Lot 1 '!C117</f>
        <v>4694</v>
      </c>
      <c r="L65" s="239">
        <f>'[1]GEOPARTS Lot 1 '!D117</f>
        <v>4576</v>
      </c>
      <c r="M65" s="239">
        <f>'[1]GEOPARTS Lot 1 '!E117</f>
        <v>4975</v>
      </c>
      <c r="N65" s="239">
        <f>'[1]GEOPARTS Lot 1 '!F117</f>
        <v>5111</v>
      </c>
      <c r="O65" s="239">
        <f>'[1]GEOPARTS Lot 1 '!G117</f>
        <v>3733</v>
      </c>
      <c r="P65" s="239">
        <f>'[1]GEOPARTS Lot 1 '!H117</f>
        <v>5651</v>
      </c>
      <c r="Q65" s="239">
        <f>'[1]GEOPARTS Lot 1 '!I117</f>
        <v>4420</v>
      </c>
      <c r="R65" s="239">
        <f>'[1]GEOPARTS Lot 1 '!J117</f>
        <v>3921</v>
      </c>
      <c r="S65" s="239">
        <f>'[1]GEOPARTS Lot 1 '!K117</f>
        <v>4596</v>
      </c>
      <c r="T65" s="239">
        <f>'[1]GEOPARTS Lot 1 '!L117</f>
        <v>4538</v>
      </c>
      <c r="U65" s="239">
        <f>'[1]GEOPARTS Lot 1 '!M117</f>
        <v>4154</v>
      </c>
      <c r="V65" s="239">
        <f>'[1]GEOPARTS Lot 1 '!N117</f>
        <v>3906</v>
      </c>
      <c r="W65" s="288">
        <f>SUM(K65:V65)</f>
        <v>54275</v>
      </c>
      <c r="X65" s="205">
        <f>SUM(K65:P65)</f>
        <v>28740</v>
      </c>
      <c r="Y65" s="267" t="s">
        <v>1953</v>
      </c>
      <c r="Z65" s="286"/>
      <c r="AA65" s="294" t="s">
        <v>1954</v>
      </c>
      <c r="AB65">
        <v>1</v>
      </c>
    </row>
    <row r="66" spans="1:28" ht="15" hidden="1" customHeight="1">
      <c r="A66" s="209">
        <v>66</v>
      </c>
      <c r="B66" s="295" t="s">
        <v>5</v>
      </c>
      <c r="C66" s="273" t="s">
        <v>1948</v>
      </c>
      <c r="D66" s="273"/>
      <c r="E66" s="275" t="s">
        <v>17</v>
      </c>
      <c r="F66" s="273" t="s">
        <v>1959</v>
      </c>
      <c r="G66" s="274" t="s">
        <v>1960</v>
      </c>
      <c r="H66" s="273"/>
      <c r="I66" s="275"/>
      <c r="J66" s="261" t="s">
        <v>10</v>
      </c>
      <c r="K66" s="214">
        <f>'[1]GEOPARTS Lot 1 '!C118</f>
        <v>439</v>
      </c>
      <c r="L66" s="214">
        <f>'[1]GEOPARTS Lot 1 '!D118</f>
        <v>472</v>
      </c>
      <c r="M66" s="214">
        <f>'[1]GEOPARTS Lot 1 '!E118</f>
        <v>503</v>
      </c>
      <c r="N66" s="214">
        <f>'[1]GEOPARTS Lot 1 '!F118</f>
        <v>511</v>
      </c>
      <c r="O66" s="214">
        <f>'[1]GEOPARTS Lot 1 '!G118</f>
        <v>386</v>
      </c>
      <c r="P66" s="214">
        <f>'[1]GEOPARTS Lot 1 '!H118</f>
        <v>581</v>
      </c>
      <c r="Q66" s="214">
        <f>'[1]GEOPARTS Lot 1 '!I118</f>
        <v>389</v>
      </c>
      <c r="R66" s="214">
        <f>'[1]GEOPARTS Lot 1 '!J118</f>
        <v>375</v>
      </c>
      <c r="S66" s="214">
        <f>'[1]GEOPARTS Lot 1 '!K118</f>
        <v>394</v>
      </c>
      <c r="T66" s="214">
        <f>'[1]GEOPARTS Lot 1 '!L118</f>
        <v>378</v>
      </c>
      <c r="U66" s="214">
        <f>'[1]GEOPARTS Lot 1 '!M118</f>
        <v>368</v>
      </c>
      <c r="V66" s="214">
        <f>'[1]GEOPARTS Lot 1 '!N118</f>
        <v>347</v>
      </c>
      <c r="W66" s="276">
        <f>SUM(K66:V66)</f>
        <v>5143</v>
      </c>
      <c r="X66" s="205">
        <f>SUM(K66:P66)</f>
        <v>2892</v>
      </c>
      <c r="Y66" s="273" t="s">
        <v>1953</v>
      </c>
      <c r="Z66" s="275"/>
      <c r="AA66" s="296" t="s">
        <v>1954</v>
      </c>
      <c r="AB66">
        <v>1</v>
      </c>
    </row>
    <row r="67" spans="1:28" ht="15" hidden="1" customHeight="1">
      <c r="A67" s="209">
        <v>67</v>
      </c>
      <c r="B67" s="295" t="s">
        <v>5</v>
      </c>
      <c r="C67" s="273" t="s">
        <v>1948</v>
      </c>
      <c r="D67" s="273"/>
      <c r="E67" s="275" t="s">
        <v>17</v>
      </c>
      <c r="F67" s="273" t="s">
        <v>1959</v>
      </c>
      <c r="G67" s="274" t="s">
        <v>1960</v>
      </c>
      <c r="H67" s="273"/>
      <c r="I67" s="275"/>
      <c r="J67" s="261" t="s">
        <v>14</v>
      </c>
      <c r="K67" s="214">
        <f>'[1]GEOPARTS Lot 1 '!C121</f>
        <v>155358.29369999998</v>
      </c>
      <c r="L67" s="214">
        <f>'[1]GEOPARTS Lot 1 '!D121</f>
        <v>165777.46799999999</v>
      </c>
      <c r="M67" s="214">
        <f>'[1]GEOPARTS Lot 1 '!E121</f>
        <v>182217.9344</v>
      </c>
      <c r="N67" s="214">
        <f>'[1]GEOPARTS Lot 1 '!F121</f>
        <v>185209.10030000005</v>
      </c>
      <c r="O67" s="214">
        <f>'[1]GEOPARTS Lot 1 '!G121</f>
        <v>143504.49660000001</v>
      </c>
      <c r="P67" s="214">
        <f>'[1]GEOPARTS Lot 1 '!H121</f>
        <v>207608.57920000001</v>
      </c>
      <c r="Q67" s="214">
        <f>'[1]GEOPARTS Lot 1 '!I121</f>
        <v>141618.42310000004</v>
      </c>
      <c r="R67" s="214">
        <f>'[1]GEOPARTS Lot 1 '!J121</f>
        <v>129693.16149999997</v>
      </c>
      <c r="S67" s="214">
        <f>'[1]GEOPARTS Lot 1 '!K121</f>
        <v>149251.73120000001</v>
      </c>
      <c r="T67" s="214">
        <f>'[1]GEOPARTS Lot 1 '!L121</f>
        <v>139809.09599999996</v>
      </c>
      <c r="U67" s="214">
        <f>'[1]GEOPARTS Lot 1 '!M121</f>
        <v>130817.62179999999</v>
      </c>
      <c r="V67" s="214">
        <f>'[1]GEOPARTS Lot 1 '!N121</f>
        <v>124766.45049999999</v>
      </c>
      <c r="W67" s="276">
        <f>SUM(K67:V67)</f>
        <v>1855632.3563000001</v>
      </c>
      <c r="X67" s="205">
        <f>SUM(K67:P67)</f>
        <v>1039675.8722000001</v>
      </c>
      <c r="Y67" s="273" t="s">
        <v>1953</v>
      </c>
      <c r="Z67" s="275"/>
      <c r="AA67" s="296" t="s">
        <v>1954</v>
      </c>
      <c r="AB67">
        <v>1</v>
      </c>
    </row>
    <row r="68" spans="1:28" ht="15" hidden="1" customHeight="1">
      <c r="A68" s="209">
        <v>68</v>
      </c>
      <c r="B68" s="295" t="s">
        <v>5</v>
      </c>
      <c r="C68" s="273" t="s">
        <v>1948</v>
      </c>
      <c r="D68" s="273"/>
      <c r="E68" s="275" t="s">
        <v>17</v>
      </c>
      <c r="F68" s="273" t="s">
        <v>1959</v>
      </c>
      <c r="G68" s="274" t="s">
        <v>1960</v>
      </c>
      <c r="H68" s="273"/>
      <c r="I68" s="275"/>
      <c r="J68" s="261" t="s">
        <v>19</v>
      </c>
      <c r="K68" s="214">
        <f>IF(K65=0,0,IF(K66=0,0,K66/K65))</f>
        <v>9.3523647209203239E-2</v>
      </c>
      <c r="L68" s="214">
        <f t="shared" ref="L68:V69" si="24">IF(L65=0,0,IF(L66=0,0,L66/L65))</f>
        <v>0.10314685314685315</v>
      </c>
      <c r="M68" s="214">
        <f>IF(M65=0,0,IF(M66=0,0,M66/M65))</f>
        <v>0.10110552763819096</v>
      </c>
      <c r="N68" s="214">
        <f t="shared" si="24"/>
        <v>9.9980434357268638E-2</v>
      </c>
      <c r="O68" s="214">
        <f t="shared" si="24"/>
        <v>0.10340208947227431</v>
      </c>
      <c r="P68" s="214">
        <f t="shared" si="24"/>
        <v>0.10281366129888515</v>
      </c>
      <c r="Q68" s="214">
        <f t="shared" si="24"/>
        <v>8.8009049773755663E-2</v>
      </c>
      <c r="R68" s="214">
        <f t="shared" si="24"/>
        <v>9.5638867635807187E-2</v>
      </c>
      <c r="S68" s="214">
        <f t="shared" si="24"/>
        <v>8.5726718885987818E-2</v>
      </c>
      <c r="T68" s="214">
        <f t="shared" si="24"/>
        <v>8.3296606434552667E-2</v>
      </c>
      <c r="U68" s="214">
        <f t="shared" si="24"/>
        <v>8.8589311506981225E-2</v>
      </c>
      <c r="V68" s="226">
        <f t="shared" si="24"/>
        <v>8.8837685611879158E-2</v>
      </c>
      <c r="W68" s="276">
        <f>IF(W65=0,0,IF(W66=0,0,W66/W65))</f>
        <v>9.4758175955780746E-2</v>
      </c>
      <c r="X68" s="297">
        <f>SUM(K68:P68)</f>
        <v>0.60397221312267535</v>
      </c>
      <c r="Y68" s="273" t="s">
        <v>1953</v>
      </c>
      <c r="Z68" s="275"/>
      <c r="AA68" s="296" t="s">
        <v>1954</v>
      </c>
      <c r="AB68">
        <v>2</v>
      </c>
    </row>
    <row r="69" spans="1:28" ht="15.75" hidden="1" customHeight="1" thickBot="1">
      <c r="A69" s="193">
        <v>69</v>
      </c>
      <c r="B69" s="298" t="s">
        <v>5</v>
      </c>
      <c r="C69" s="277" t="s">
        <v>1948</v>
      </c>
      <c r="D69" s="277"/>
      <c r="E69" s="279" t="s">
        <v>17</v>
      </c>
      <c r="F69" s="277" t="s">
        <v>1959</v>
      </c>
      <c r="G69" s="278" t="s">
        <v>1960</v>
      </c>
      <c r="H69" s="277"/>
      <c r="I69" s="279"/>
      <c r="J69" s="252" t="s">
        <v>16</v>
      </c>
      <c r="K69" s="253">
        <f>IF(K66=0,0,IF(K67=0,0,K67/K66))</f>
        <v>353.89132961275624</v>
      </c>
      <c r="L69" s="253">
        <f t="shared" si="24"/>
        <v>351.22344915254234</v>
      </c>
      <c r="M69" s="253">
        <f t="shared" si="24"/>
        <v>362.26229502982108</v>
      </c>
      <c r="N69" s="253">
        <f t="shared" si="24"/>
        <v>362.44442328767133</v>
      </c>
      <c r="O69" s="253">
        <f t="shared" si="24"/>
        <v>371.77330725388606</v>
      </c>
      <c r="P69" s="253">
        <f t="shared" si="24"/>
        <v>357.32974044750432</v>
      </c>
      <c r="Q69" s="253">
        <f t="shared" si="24"/>
        <v>364.05764293059138</v>
      </c>
      <c r="R69" s="253">
        <f t="shared" si="24"/>
        <v>345.84843066666662</v>
      </c>
      <c r="S69" s="253">
        <f t="shared" si="24"/>
        <v>378.81150050761426</v>
      </c>
      <c r="T69" s="253">
        <f t="shared" si="24"/>
        <v>369.86533333333324</v>
      </c>
      <c r="U69" s="253">
        <f t="shared" si="24"/>
        <v>355.48266793478257</v>
      </c>
      <c r="V69" s="255">
        <f t="shared" si="24"/>
        <v>359.55749423631124</v>
      </c>
      <c r="W69" s="256">
        <f>IF(W66=0,0,IF(W67=0,0,W67/W66))</f>
        <v>360.80738018666148</v>
      </c>
      <c r="X69" s="299">
        <f>IF(X66=0,0,IF(X67=0,0,X67/X66))</f>
        <v>359.50064737206088</v>
      </c>
      <c r="Y69" s="277" t="s">
        <v>1953</v>
      </c>
      <c r="Z69" s="279"/>
      <c r="AA69" s="300" t="s">
        <v>1954</v>
      </c>
      <c r="AB69">
        <v>2</v>
      </c>
    </row>
    <row r="70" spans="1:28" ht="15" hidden="1" customHeight="1">
      <c r="A70" s="209">
        <v>70</v>
      </c>
      <c r="B70" s="318" t="s">
        <v>5</v>
      </c>
      <c r="C70" s="269" t="s">
        <v>1948</v>
      </c>
      <c r="D70" s="269"/>
      <c r="E70" s="271" t="s">
        <v>17</v>
      </c>
      <c r="F70" s="269" t="s">
        <v>1959</v>
      </c>
      <c r="G70" s="270" t="s">
        <v>1961</v>
      </c>
      <c r="H70" s="269"/>
      <c r="I70" s="271"/>
      <c r="J70" s="301" t="s">
        <v>18</v>
      </c>
      <c r="K70" s="201">
        <f>'[1]GEOPARTS Lot 2'!C117</f>
        <v>282</v>
      </c>
      <c r="L70" s="201">
        <f>'[1]GEOPARTS Lot 2'!D117</f>
        <v>284</v>
      </c>
      <c r="M70" s="201">
        <f>'[1]GEOPARTS Lot 2'!E117</f>
        <v>325</v>
      </c>
      <c r="N70" s="201">
        <f>'[1]GEOPARTS Lot 2'!F117</f>
        <v>311</v>
      </c>
      <c r="O70" s="201">
        <f>'[1]GEOPARTS Lot 2'!G117</f>
        <v>250</v>
      </c>
      <c r="P70" s="201">
        <f>'[1]GEOPARTS Lot 2'!H117</f>
        <v>237</v>
      </c>
      <c r="Q70" s="201">
        <f>'[1]GEOPARTS Lot 2'!I117</f>
        <v>245</v>
      </c>
      <c r="R70" s="201">
        <f>'[1]GEOPARTS Lot 2'!J117</f>
        <v>232</v>
      </c>
      <c r="S70" s="201">
        <f>'[1]GEOPARTS Lot 2'!K117</f>
        <v>288</v>
      </c>
      <c r="T70" s="201">
        <f>'[1]GEOPARTS Lot 2'!L117</f>
        <v>280</v>
      </c>
      <c r="U70" s="201">
        <f>'[1]GEOPARTS Lot 2'!M117</f>
        <v>271</v>
      </c>
      <c r="V70" s="201">
        <f>'[1]GEOPARTS Lot 2'!N117</f>
        <v>173</v>
      </c>
      <c r="W70" s="319">
        <f>SUM(K70:V70)</f>
        <v>3178</v>
      </c>
      <c r="X70" s="205">
        <f>SUM(K70:P70)</f>
        <v>1689</v>
      </c>
      <c r="Y70" s="269" t="s">
        <v>1953</v>
      </c>
      <c r="Z70" s="271"/>
      <c r="AA70" s="320" t="s">
        <v>1954</v>
      </c>
      <c r="AB70">
        <v>1</v>
      </c>
    </row>
    <row r="71" spans="1:28" ht="15" hidden="1" customHeight="1">
      <c r="A71" s="209">
        <v>71</v>
      </c>
      <c r="B71" s="295" t="s">
        <v>5</v>
      </c>
      <c r="C71" s="273" t="s">
        <v>1948</v>
      </c>
      <c r="D71" s="273"/>
      <c r="E71" s="275" t="s">
        <v>17</v>
      </c>
      <c r="F71" s="273" t="s">
        <v>1959</v>
      </c>
      <c r="G71" s="274" t="s">
        <v>1961</v>
      </c>
      <c r="H71" s="273"/>
      <c r="I71" s="275"/>
      <c r="J71" s="261" t="s">
        <v>10</v>
      </c>
      <c r="K71" s="214">
        <f>'[1]GEOPARTS Lot 2'!C118</f>
        <v>1159</v>
      </c>
      <c r="L71" s="214">
        <f>'[1]GEOPARTS Lot 2'!D118</f>
        <v>1258</v>
      </c>
      <c r="M71" s="214">
        <f>'[1]GEOPARTS Lot 2'!E118</f>
        <v>1403</v>
      </c>
      <c r="N71" s="214">
        <f>'[1]GEOPARTS Lot 2'!F118</f>
        <v>1095</v>
      </c>
      <c r="O71" s="214">
        <f>'[1]GEOPARTS Lot 2'!G118</f>
        <v>1009</v>
      </c>
      <c r="P71" s="214">
        <f>'[1]GEOPARTS Lot 2'!H118</f>
        <v>1161</v>
      </c>
      <c r="Q71" s="214">
        <f>'[1]GEOPARTS Lot 2'!I118</f>
        <v>967</v>
      </c>
      <c r="R71" s="214">
        <f>'[1]GEOPARTS Lot 2'!J118</f>
        <v>903</v>
      </c>
      <c r="S71" s="214">
        <f>'[1]GEOPARTS Lot 2'!K118</f>
        <v>1130</v>
      </c>
      <c r="T71" s="214">
        <f>'[1]GEOPARTS Lot 2'!L118</f>
        <v>1061</v>
      </c>
      <c r="U71" s="214">
        <f>'[1]GEOPARTS Lot 2'!M118</f>
        <v>979</v>
      </c>
      <c r="V71" s="214">
        <f>'[1]GEOPARTS Lot 2'!N118</f>
        <v>645</v>
      </c>
      <c r="W71" s="276">
        <f>SUM(K71:V71)</f>
        <v>12770</v>
      </c>
      <c r="X71" s="205">
        <f>SUM(K71:P71)</f>
        <v>7085</v>
      </c>
      <c r="Y71" s="273" t="s">
        <v>1953</v>
      </c>
      <c r="Z71" s="275"/>
      <c r="AA71" s="296" t="s">
        <v>1954</v>
      </c>
      <c r="AB71">
        <v>1</v>
      </c>
    </row>
    <row r="72" spans="1:28" ht="15" hidden="1" customHeight="1">
      <c r="A72" s="209">
        <v>72</v>
      </c>
      <c r="B72" s="295" t="s">
        <v>5</v>
      </c>
      <c r="C72" s="273" t="s">
        <v>1948</v>
      </c>
      <c r="D72" s="273"/>
      <c r="E72" s="275" t="s">
        <v>17</v>
      </c>
      <c r="F72" s="273" t="s">
        <v>1959</v>
      </c>
      <c r="G72" s="274" t="s">
        <v>1961</v>
      </c>
      <c r="H72" s="273"/>
      <c r="I72" s="275"/>
      <c r="J72" s="261" t="s">
        <v>14</v>
      </c>
      <c r="K72" s="214">
        <f>'[1]GEOPARTS Lot 2'!C121</f>
        <v>121140.88800000001</v>
      </c>
      <c r="L72" s="214">
        <f>'[1]GEOPARTS Lot 2'!D121</f>
        <v>123876.2086</v>
      </c>
      <c r="M72" s="214">
        <f>'[1]GEOPARTS Lot 2'!E121</f>
        <v>152217.99</v>
      </c>
      <c r="N72" s="214">
        <f>'[1]GEOPARTS Lot 2'!F121</f>
        <v>127403.6012</v>
      </c>
      <c r="O72" s="214">
        <f>'[1]GEOPARTS Lot 2'!G121</f>
        <v>106139.11440000001</v>
      </c>
      <c r="P72" s="214">
        <f>'[1]GEOPARTS Lot 2'!H121</f>
        <v>116810.4075</v>
      </c>
      <c r="Q72" s="214">
        <f>'[1]GEOPARTS Lot 2'!I121</f>
        <v>94611.757500000007</v>
      </c>
      <c r="R72" s="214">
        <f>'[1]GEOPARTS Lot 2'!J121</f>
        <v>88738.977599999998</v>
      </c>
      <c r="S72" s="214">
        <f>'[1]GEOPARTS Lot 2'!K121</f>
        <v>116449.7936</v>
      </c>
      <c r="T72" s="214">
        <f>'[1]GEOPARTS Lot 2'!L121</f>
        <v>111024.45299999999</v>
      </c>
      <c r="U72" s="214">
        <f>'[1]GEOPARTS Lot 2'!M121</f>
        <v>109660.5594</v>
      </c>
      <c r="V72" s="214">
        <f>'[1]GEOPARTS Lot 2'!N121</f>
        <v>72284.966</v>
      </c>
      <c r="W72" s="276">
        <f>SUM(K72:V72)</f>
        <v>1340358.7167999998</v>
      </c>
      <c r="X72" s="205">
        <f>SUM(K72:P72)</f>
        <v>747588.20969999989</v>
      </c>
      <c r="Y72" s="273" t="s">
        <v>1953</v>
      </c>
      <c r="Z72" s="275"/>
      <c r="AA72" s="296" t="s">
        <v>1954</v>
      </c>
      <c r="AB72">
        <v>1</v>
      </c>
    </row>
    <row r="73" spans="1:28" ht="15" hidden="1" customHeight="1">
      <c r="A73" s="193">
        <v>73</v>
      </c>
      <c r="B73" s="295" t="s">
        <v>5</v>
      </c>
      <c r="C73" s="273" t="s">
        <v>1948</v>
      </c>
      <c r="D73" s="273"/>
      <c r="E73" s="275" t="s">
        <v>17</v>
      </c>
      <c r="F73" s="273" t="s">
        <v>1959</v>
      </c>
      <c r="G73" s="274" t="s">
        <v>1961</v>
      </c>
      <c r="H73" s="273"/>
      <c r="I73" s="275"/>
      <c r="J73" s="261" t="s">
        <v>19</v>
      </c>
      <c r="K73" s="214">
        <f>IF(K71=0,0,IF(K70=0,0,K71/K70))</f>
        <v>4.1099290780141846</v>
      </c>
      <c r="L73" s="214">
        <f>IF(L71=0,0,IF(L70=0,0,L71/L70))</f>
        <v>4.429577464788732</v>
      </c>
      <c r="M73" s="214">
        <f>IF(M71=0,0,IF(M70=0,0,M71/M70))</f>
        <v>4.3169230769230769</v>
      </c>
      <c r="N73" s="214">
        <f t="shared" ref="N73:V73" si="25">IF(N71=0,0,IF(N70=0,0,N71/N70))</f>
        <v>3.5209003215434085</v>
      </c>
      <c r="O73" s="214">
        <f t="shared" si="25"/>
        <v>4.0359999999999996</v>
      </c>
      <c r="P73" s="214">
        <f t="shared" si="25"/>
        <v>4.8987341772151902</v>
      </c>
      <c r="Q73" s="214">
        <f t="shared" si="25"/>
        <v>3.9469387755102039</v>
      </c>
      <c r="R73" s="214">
        <f t="shared" si="25"/>
        <v>3.8922413793103448</v>
      </c>
      <c r="S73" s="214">
        <f t="shared" si="25"/>
        <v>3.9236111111111112</v>
      </c>
      <c r="T73" s="214">
        <f t="shared" si="25"/>
        <v>3.7892857142857141</v>
      </c>
      <c r="U73" s="214">
        <f t="shared" si="25"/>
        <v>3.6125461254612548</v>
      </c>
      <c r="V73" s="226">
        <f t="shared" si="25"/>
        <v>3.7283236994219653</v>
      </c>
      <c r="W73" s="276">
        <f>IF(W71=0,0,IF(W70=0,0,W71/W70))</f>
        <v>4.018250471994965</v>
      </c>
      <c r="X73" s="297">
        <f>SUM(K73:P73)</f>
        <v>25.312064118484592</v>
      </c>
      <c r="Y73" s="273" t="s">
        <v>1953</v>
      </c>
      <c r="Z73" s="275"/>
      <c r="AA73" s="296" t="s">
        <v>1954</v>
      </c>
      <c r="AB73">
        <v>2</v>
      </c>
    </row>
    <row r="74" spans="1:28" ht="15.75" hidden="1" customHeight="1" thickBot="1">
      <c r="A74" s="209">
        <v>74</v>
      </c>
      <c r="B74" s="298" t="s">
        <v>5</v>
      </c>
      <c r="C74" s="277" t="s">
        <v>1948</v>
      </c>
      <c r="D74" s="277"/>
      <c r="E74" s="279" t="s">
        <v>17</v>
      </c>
      <c r="F74" s="277" t="s">
        <v>1959</v>
      </c>
      <c r="G74" s="278" t="s">
        <v>1961</v>
      </c>
      <c r="H74" s="277"/>
      <c r="I74" s="279"/>
      <c r="J74" s="252" t="s">
        <v>16</v>
      </c>
      <c r="K74" s="253">
        <f>IF(K71=0,0,IF(K72=0,0,K72/K71))</f>
        <v>104.52190509059534</v>
      </c>
      <c r="L74" s="253">
        <f t="shared" ref="L74:V74" si="26">IF(L71=0,0,IF(L72=0,0,L72/L71))</f>
        <v>98.470754054054055</v>
      </c>
      <c r="M74" s="253">
        <f t="shared" si="26"/>
        <v>108.49464718460442</v>
      </c>
      <c r="N74" s="253">
        <f t="shared" si="26"/>
        <v>116.35032073059361</v>
      </c>
      <c r="O74" s="253">
        <f t="shared" si="26"/>
        <v>105.19238295341923</v>
      </c>
      <c r="P74" s="253">
        <f t="shared" si="26"/>
        <v>100.61189276485788</v>
      </c>
      <c r="Q74" s="253">
        <f t="shared" si="26"/>
        <v>97.84049379524302</v>
      </c>
      <c r="R74" s="253">
        <f t="shared" si="26"/>
        <v>98.271293023255808</v>
      </c>
      <c r="S74" s="253">
        <f t="shared" si="26"/>
        <v>103.0529146902655</v>
      </c>
      <c r="T74" s="253">
        <f t="shared" si="26"/>
        <v>104.64133176248821</v>
      </c>
      <c r="U74" s="253">
        <f t="shared" si="26"/>
        <v>112.01282880490297</v>
      </c>
      <c r="V74" s="255">
        <f t="shared" si="26"/>
        <v>112.06971472868217</v>
      </c>
      <c r="W74" s="256">
        <f>IF(W71=0,0,IF(W72=0,0,W72/W71))</f>
        <v>104.96152833202818</v>
      </c>
      <c r="X74" s="299">
        <f>IF(X71=0,0,IF(X72=0,0,X72/X71))</f>
        <v>105.51703736062102</v>
      </c>
      <c r="Y74" s="277" t="s">
        <v>1953</v>
      </c>
      <c r="Z74" s="279"/>
      <c r="AA74" s="300" t="s">
        <v>1954</v>
      </c>
      <c r="AB74">
        <v>2</v>
      </c>
    </row>
    <row r="75" spans="1:28" ht="15" hidden="1" customHeight="1">
      <c r="A75" s="209">
        <v>75</v>
      </c>
      <c r="B75" s="291" t="s">
        <v>5</v>
      </c>
      <c r="C75" s="267" t="s">
        <v>1948</v>
      </c>
      <c r="D75" s="267"/>
      <c r="E75" s="286" t="s">
        <v>17</v>
      </c>
      <c r="F75" s="267" t="s">
        <v>1959</v>
      </c>
      <c r="G75" s="285" t="s">
        <v>1962</v>
      </c>
      <c r="H75" s="267"/>
      <c r="I75" s="286"/>
      <c r="J75" s="292" t="s">
        <v>18</v>
      </c>
      <c r="K75" s="239">
        <f>'[1]GEOPARTS Lot 3 '!C117</f>
        <v>191</v>
      </c>
      <c r="L75" s="239">
        <f>'[1]GEOPARTS Lot 3 '!D117</f>
        <v>196</v>
      </c>
      <c r="M75" s="239">
        <f>'[1]GEOPARTS Lot 3 '!E117</f>
        <v>271</v>
      </c>
      <c r="N75" s="239">
        <f>'[1]GEOPARTS Lot 3 '!F117</f>
        <v>278</v>
      </c>
      <c r="O75" s="239">
        <f>'[1]GEOPARTS Lot 3 '!G117</f>
        <v>274</v>
      </c>
      <c r="P75" s="239">
        <f>'[1]GEOPARTS Lot 3 '!H117</f>
        <v>278</v>
      </c>
      <c r="Q75" s="239">
        <f>'[1]GEOPARTS Lot 3 '!I117</f>
        <v>204</v>
      </c>
      <c r="R75" s="239">
        <f>'[1]GEOPARTS Lot 3 '!J117</f>
        <v>302</v>
      </c>
      <c r="S75" s="239">
        <f>'[1]GEOPARTS Lot 3 '!K117</f>
        <v>254</v>
      </c>
      <c r="T75" s="239">
        <f>'[1]GEOPARTS Lot 3 '!L117</f>
        <v>251</v>
      </c>
      <c r="U75" s="239">
        <f>'[1]GEOPARTS Lot 3 '!M117</f>
        <v>222</v>
      </c>
      <c r="V75" s="239">
        <f>'[1]GEOPARTS Lot 3 '!N117</f>
        <v>164</v>
      </c>
      <c r="W75" s="288">
        <f>SUM(K75:V75)</f>
        <v>2885</v>
      </c>
      <c r="X75" s="205">
        <f>SUM(K75:P75)</f>
        <v>1488</v>
      </c>
      <c r="Y75" s="267" t="s">
        <v>1953</v>
      </c>
      <c r="Z75" s="286"/>
      <c r="AA75" s="294" t="s">
        <v>1954</v>
      </c>
      <c r="AB75">
        <v>1</v>
      </c>
    </row>
    <row r="76" spans="1:28" ht="15" hidden="1" customHeight="1">
      <c r="A76" s="209">
        <v>76</v>
      </c>
      <c r="B76" s="295" t="s">
        <v>5</v>
      </c>
      <c r="C76" s="273" t="s">
        <v>1948</v>
      </c>
      <c r="D76" s="273"/>
      <c r="E76" s="275" t="s">
        <v>17</v>
      </c>
      <c r="F76" s="273" t="s">
        <v>1959</v>
      </c>
      <c r="G76" s="274" t="s">
        <v>1962</v>
      </c>
      <c r="H76" s="273"/>
      <c r="I76" s="275"/>
      <c r="J76" s="261" t="s">
        <v>10</v>
      </c>
      <c r="K76" s="214">
        <f>'[1]GEOPARTS Lot 3 '!C118</f>
        <v>2288</v>
      </c>
      <c r="L76" s="214">
        <f>'[1]GEOPARTS Lot 3 '!D118</f>
        <v>3204</v>
      </c>
      <c r="M76" s="214">
        <f>'[1]GEOPARTS Lot 3 '!E118</f>
        <v>3480</v>
      </c>
      <c r="N76" s="214">
        <f>'[1]GEOPARTS Lot 3 '!F118</f>
        <v>2641</v>
      </c>
      <c r="O76" s="214">
        <f>'[1]GEOPARTS Lot 3 '!G118</f>
        <v>2710</v>
      </c>
      <c r="P76" s="214">
        <f>'[1]GEOPARTS Lot 3 '!H118</f>
        <v>3059</v>
      </c>
      <c r="Q76" s="214">
        <f>'[1]GEOPARTS Lot 3 '!I118</f>
        <v>1948</v>
      </c>
      <c r="R76" s="214">
        <f>'[1]GEOPARTS Lot 3 '!J118</f>
        <v>3841</v>
      </c>
      <c r="S76" s="214">
        <f>'[1]GEOPARTS Lot 3 '!K118</f>
        <v>3094</v>
      </c>
      <c r="T76" s="214">
        <f>'[1]GEOPARTS Lot 3 '!L118</f>
        <v>2402</v>
      </c>
      <c r="U76" s="214">
        <f>'[1]GEOPARTS Lot 3 '!M118</f>
        <v>2726</v>
      </c>
      <c r="V76" s="214">
        <f>'[1]GEOPARTS Lot 3 '!N118</f>
        <v>1625</v>
      </c>
      <c r="W76" s="276">
        <f>SUM(K76:V76)</f>
        <v>33018</v>
      </c>
      <c r="X76" s="205">
        <f>SUM(K76:P76)</f>
        <v>17382</v>
      </c>
      <c r="Y76" s="273" t="s">
        <v>1953</v>
      </c>
      <c r="Z76" s="275"/>
      <c r="AA76" s="296" t="s">
        <v>1954</v>
      </c>
      <c r="AB76">
        <v>1</v>
      </c>
    </row>
    <row r="77" spans="1:28" ht="15" hidden="1" customHeight="1">
      <c r="A77" s="193">
        <v>77</v>
      </c>
      <c r="B77" s="295" t="s">
        <v>5</v>
      </c>
      <c r="C77" s="273" t="s">
        <v>1948</v>
      </c>
      <c r="D77" s="273"/>
      <c r="E77" s="275" t="s">
        <v>17</v>
      </c>
      <c r="F77" s="273" t="s">
        <v>1959</v>
      </c>
      <c r="G77" s="274" t="s">
        <v>1962</v>
      </c>
      <c r="H77" s="273"/>
      <c r="I77" s="275"/>
      <c r="J77" s="261" t="s">
        <v>14</v>
      </c>
      <c r="K77" s="214">
        <f>'[1]GEOPARTS Lot 3 '!C121</f>
        <v>118690.011</v>
      </c>
      <c r="L77" s="214">
        <f>'[1]GEOPARTS Lot 3 '!D121</f>
        <v>143904.25880000001</v>
      </c>
      <c r="M77" s="214">
        <f>'[1]GEOPARTS Lot 3 '!E121</f>
        <v>178542.6048</v>
      </c>
      <c r="N77" s="214">
        <f>'[1]GEOPARTS Lot 3 '!F121</f>
        <v>145821.4344</v>
      </c>
      <c r="O77" s="214">
        <f>'[1]GEOPARTS Lot 3 '!G121</f>
        <v>147985.75080000001</v>
      </c>
      <c r="P77" s="214">
        <f>'[1]GEOPARTS Lot 3 '!H121</f>
        <v>167424.8775</v>
      </c>
      <c r="Q77" s="214">
        <f>'[1]GEOPARTS Lot 3 '!I121</f>
        <v>111493.395</v>
      </c>
      <c r="R77" s="214">
        <f>'[1]GEOPARTS Lot 3 '!J121</f>
        <v>190646.49239999999</v>
      </c>
      <c r="S77" s="214">
        <f>'[1]GEOPARTS Lot 3 '!K121</f>
        <v>159363.23680000001</v>
      </c>
      <c r="T77" s="214">
        <f>'[1]GEOPARTS Lot 3 '!L121</f>
        <v>127775.5959</v>
      </c>
      <c r="U77" s="214">
        <f>'[1]GEOPARTS Lot 3 '!M121</f>
        <v>143607.954</v>
      </c>
      <c r="V77" s="214">
        <f>'[1]GEOPARTS Lot 3 '!N121</f>
        <v>80010.690499999997</v>
      </c>
      <c r="W77" s="276">
        <f>SUM(K77:V77)</f>
        <v>1715266.3019000003</v>
      </c>
      <c r="X77" s="205">
        <f>SUM(K77:P77)</f>
        <v>902368.93730000011</v>
      </c>
      <c r="Y77" s="273" t="s">
        <v>1953</v>
      </c>
      <c r="Z77" s="275"/>
      <c r="AA77" s="296" t="s">
        <v>1954</v>
      </c>
      <c r="AB77">
        <v>1</v>
      </c>
    </row>
    <row r="78" spans="1:28" ht="15" hidden="1" customHeight="1">
      <c r="A78" s="209">
        <v>78</v>
      </c>
      <c r="B78" s="295" t="s">
        <v>5</v>
      </c>
      <c r="C78" s="273" t="s">
        <v>1948</v>
      </c>
      <c r="D78" s="273"/>
      <c r="E78" s="275" t="s">
        <v>17</v>
      </c>
      <c r="F78" s="273" t="s">
        <v>1959</v>
      </c>
      <c r="G78" s="274" t="s">
        <v>1962</v>
      </c>
      <c r="H78" s="273"/>
      <c r="I78" s="275"/>
      <c r="J78" s="261" t="s">
        <v>19</v>
      </c>
      <c r="K78" s="214">
        <f>IF(K75=0,0,IF(K76=0,0,K76/K75))</f>
        <v>11.979057591623036</v>
      </c>
      <c r="L78" s="214">
        <f t="shared" ref="L78:V79" si="27">IF(L75=0,0,IF(L76=0,0,L76/L75))</f>
        <v>16.346938775510203</v>
      </c>
      <c r="M78" s="214">
        <f>IF(M75=0,0,IF(M76=0,0,M76/M75))</f>
        <v>12.841328413284133</v>
      </c>
      <c r="N78" s="214">
        <f t="shared" si="27"/>
        <v>9.5</v>
      </c>
      <c r="O78" s="214">
        <f t="shared" si="27"/>
        <v>9.89051094890511</v>
      </c>
      <c r="P78" s="214">
        <f t="shared" si="27"/>
        <v>11.003597122302159</v>
      </c>
      <c r="Q78" s="214">
        <f t="shared" si="27"/>
        <v>9.5490196078431371</v>
      </c>
      <c r="R78" s="214">
        <f t="shared" si="27"/>
        <v>12.718543046357615</v>
      </c>
      <c r="S78" s="214">
        <f t="shared" si="27"/>
        <v>12.181102362204724</v>
      </c>
      <c r="T78" s="214">
        <f t="shared" si="27"/>
        <v>9.569721115537849</v>
      </c>
      <c r="U78" s="214">
        <f t="shared" si="27"/>
        <v>12.27927927927928</v>
      </c>
      <c r="V78" s="226">
        <f>IF(V75=0,0,IF(V76=0,0,V76/V75))</f>
        <v>9.9085365853658534</v>
      </c>
      <c r="W78" s="276">
        <f>IF(W75=0,0,IF(W76=0,0,W76/W75))</f>
        <v>11.44471403812825</v>
      </c>
      <c r="X78" s="297">
        <f>SUM(K78:P78)</f>
        <v>71.561432851624645</v>
      </c>
      <c r="Y78" s="273" t="s">
        <v>1953</v>
      </c>
      <c r="Z78" s="275"/>
      <c r="AA78" s="296" t="s">
        <v>1954</v>
      </c>
      <c r="AB78">
        <v>2</v>
      </c>
    </row>
    <row r="79" spans="1:28" ht="15.75" hidden="1" customHeight="1" thickBot="1">
      <c r="A79" s="209">
        <v>79</v>
      </c>
      <c r="B79" s="321" t="s">
        <v>5</v>
      </c>
      <c r="C79" s="304" t="s">
        <v>1948</v>
      </c>
      <c r="D79" s="304"/>
      <c r="E79" s="307" t="s">
        <v>17</v>
      </c>
      <c r="F79" s="304" t="s">
        <v>1959</v>
      </c>
      <c r="G79" s="322" t="s">
        <v>1962</v>
      </c>
      <c r="H79" s="304"/>
      <c r="I79" s="307"/>
      <c r="J79" s="252" t="s">
        <v>16</v>
      </c>
      <c r="K79" s="253">
        <f>IF(K76=0,0,IF(K77=0,0,K77/K76))</f>
        <v>51.875004807692306</v>
      </c>
      <c r="L79" s="253">
        <f t="shared" si="27"/>
        <v>44.913938451935081</v>
      </c>
      <c r="M79" s="253">
        <f t="shared" si="27"/>
        <v>51.305346206896552</v>
      </c>
      <c r="N79" s="253">
        <f t="shared" si="27"/>
        <v>55.21447724346838</v>
      </c>
      <c r="O79" s="253">
        <f t="shared" si="27"/>
        <v>54.607288118081186</v>
      </c>
      <c r="P79" s="253">
        <f t="shared" si="27"/>
        <v>54.731898496240603</v>
      </c>
      <c r="Q79" s="253">
        <f t="shared" si="27"/>
        <v>57.234802361396305</v>
      </c>
      <c r="R79" s="253">
        <f t="shared" si="27"/>
        <v>49.634598385837016</v>
      </c>
      <c r="S79" s="253">
        <f t="shared" si="27"/>
        <v>51.50718707175178</v>
      </c>
      <c r="T79" s="253">
        <f t="shared" si="27"/>
        <v>53.195502039966698</v>
      </c>
      <c r="U79" s="253">
        <f t="shared" si="27"/>
        <v>52.680834189288333</v>
      </c>
      <c r="V79" s="255">
        <f t="shared" si="27"/>
        <v>49.237347999999997</v>
      </c>
      <c r="W79" s="256">
        <f>IF(W76=0,0,IF(W77=0,0,W77/W76))</f>
        <v>51.949430671149081</v>
      </c>
      <c r="X79" s="299">
        <f>IF(X76=0,0,IF(X77=0,0,X77/X76))</f>
        <v>51.913987878264876</v>
      </c>
      <c r="Y79" s="304" t="s">
        <v>1953</v>
      </c>
      <c r="Z79" s="307"/>
      <c r="AA79" s="323" t="s">
        <v>1954</v>
      </c>
      <c r="AB79">
        <v>2</v>
      </c>
    </row>
    <row r="80" spans="1:28" ht="15" hidden="1" customHeight="1">
      <c r="A80" s="209">
        <v>80</v>
      </c>
      <c r="B80" s="291" t="s">
        <v>5</v>
      </c>
      <c r="C80" s="267" t="s">
        <v>1948</v>
      </c>
      <c r="D80" s="267"/>
      <c r="E80" s="286" t="s">
        <v>17</v>
      </c>
      <c r="F80" s="267" t="s">
        <v>1959</v>
      </c>
      <c r="G80" s="285" t="s">
        <v>1963</v>
      </c>
      <c r="H80" s="267"/>
      <c r="I80" s="286"/>
      <c r="J80" s="292" t="s">
        <v>18</v>
      </c>
      <c r="K80" s="239">
        <f>'[1]GEOPARTS Lot 5'!C117</f>
        <v>209</v>
      </c>
      <c r="L80" s="239">
        <f>'[1]GEOPARTS Lot 5'!D117</f>
        <v>237</v>
      </c>
      <c r="M80" s="239">
        <f>'[1]GEOPARTS Lot 5'!E117</f>
        <v>329</v>
      </c>
      <c r="N80" s="239">
        <f>'[1]GEOPARTS Lot 5'!F117</f>
        <v>284</v>
      </c>
      <c r="O80" s="239">
        <f>'[1]GEOPARTS Lot 5'!G117</f>
        <v>189</v>
      </c>
      <c r="P80" s="239">
        <f>'[1]GEOPARTS Lot 5'!H117</f>
        <v>306</v>
      </c>
      <c r="Q80" s="239">
        <f>'[1]GEOPARTS Lot 5'!I117</f>
        <v>223</v>
      </c>
      <c r="R80" s="239">
        <f>'[1]GEOPARTS Lot 5'!J117</f>
        <v>242</v>
      </c>
      <c r="S80" s="239">
        <f>'[1]GEOPARTS Lot 5'!K117</f>
        <v>293</v>
      </c>
      <c r="T80" s="239">
        <f>'[1]GEOPARTS Lot 5'!L117</f>
        <v>330</v>
      </c>
      <c r="U80" s="239">
        <f>'[1]GEOPARTS Lot 5'!M117</f>
        <v>246</v>
      </c>
      <c r="V80" s="239">
        <f>'[1]GEOPARTS Lot 5'!N117</f>
        <v>190</v>
      </c>
      <c r="W80" s="288">
        <f>SUM(K80:V80)</f>
        <v>3078</v>
      </c>
      <c r="X80" s="205">
        <f>SUM(K80:P80)</f>
        <v>1554</v>
      </c>
      <c r="Y80" s="267" t="s">
        <v>1953</v>
      </c>
      <c r="Z80" s="286"/>
      <c r="AA80" s="294" t="s">
        <v>1954</v>
      </c>
      <c r="AB80">
        <v>1</v>
      </c>
    </row>
    <row r="81" spans="1:29" ht="15" hidden="1" customHeight="1">
      <c r="A81" s="193">
        <v>81</v>
      </c>
      <c r="B81" s="295" t="s">
        <v>5</v>
      </c>
      <c r="C81" s="273" t="s">
        <v>1948</v>
      </c>
      <c r="D81" s="273"/>
      <c r="E81" s="275" t="s">
        <v>17</v>
      </c>
      <c r="F81" s="273" t="s">
        <v>1959</v>
      </c>
      <c r="G81" s="274" t="s">
        <v>1963</v>
      </c>
      <c r="H81" s="273"/>
      <c r="I81" s="275"/>
      <c r="J81" s="261" t="s">
        <v>10</v>
      </c>
      <c r="K81" s="214">
        <f>'[1]GEOPARTS Lot 5'!C118</f>
        <v>1341</v>
      </c>
      <c r="L81" s="214">
        <f>'[1]GEOPARTS Lot 5'!D118</f>
        <v>1535</v>
      </c>
      <c r="M81" s="214">
        <f>'[1]GEOPARTS Lot 5'!E118</f>
        <v>2213</v>
      </c>
      <c r="N81" s="214">
        <f>'[1]GEOPARTS Lot 5'!F118</f>
        <v>1709</v>
      </c>
      <c r="O81" s="214">
        <f>'[1]GEOPARTS Lot 5'!G118</f>
        <v>1075</v>
      </c>
      <c r="P81" s="214">
        <f>'[1]GEOPARTS Lot 5'!H118</f>
        <v>1890</v>
      </c>
      <c r="Q81" s="214">
        <f>'[1]GEOPARTS Lot 5'!I118</f>
        <v>1626</v>
      </c>
      <c r="R81" s="214">
        <f>'[1]GEOPARTS Lot 5'!J118</f>
        <v>1579</v>
      </c>
      <c r="S81" s="214">
        <f>'[1]GEOPARTS Lot 5'!K118</f>
        <v>2119</v>
      </c>
      <c r="T81" s="214">
        <f>'[1]GEOPARTS Lot 5'!L118</f>
        <v>2216</v>
      </c>
      <c r="U81" s="214">
        <f>'[1]GEOPARTS Lot 5'!M118</f>
        <v>1515</v>
      </c>
      <c r="V81" s="214">
        <f>'[1]GEOPARTS Lot 5'!N118</f>
        <v>1483</v>
      </c>
      <c r="W81" s="276">
        <f>SUM(K81:V81)</f>
        <v>20301</v>
      </c>
      <c r="X81" s="205">
        <f>SUM(K81:P81)</f>
        <v>9763</v>
      </c>
      <c r="Y81" s="273" t="s">
        <v>1953</v>
      </c>
      <c r="Z81" s="275"/>
      <c r="AA81" s="296" t="s">
        <v>1954</v>
      </c>
      <c r="AB81">
        <v>1</v>
      </c>
    </row>
    <row r="82" spans="1:29" ht="15" hidden="1" customHeight="1">
      <c r="A82" s="209">
        <v>82</v>
      </c>
      <c r="B82" s="295" t="s">
        <v>5</v>
      </c>
      <c r="C82" s="273" t="s">
        <v>1948</v>
      </c>
      <c r="D82" s="273"/>
      <c r="E82" s="275" t="s">
        <v>17</v>
      </c>
      <c r="F82" s="273" t="s">
        <v>1959</v>
      </c>
      <c r="G82" s="274" t="s">
        <v>1963</v>
      </c>
      <c r="H82" s="273"/>
      <c r="I82" s="275"/>
      <c r="J82" s="261" t="s">
        <v>14</v>
      </c>
      <c r="K82" s="214">
        <f>'[1]GEOPARTS Lot 5'!C121</f>
        <v>173964.64420000001</v>
      </c>
      <c r="L82" s="214">
        <f>'[1]GEOPARTS Lot 5'!D121</f>
        <v>210357.19680000001</v>
      </c>
      <c r="M82" s="214">
        <f>'[1]GEOPARTS Lot 5'!E121</f>
        <v>319861.61239999998</v>
      </c>
      <c r="N82" s="214">
        <f>'[1]GEOPARTS Lot 5'!F121</f>
        <v>269493.43520000001</v>
      </c>
      <c r="O82" s="214">
        <f>'[1]GEOPARTS Lot 5'!G121</f>
        <v>147532.8352</v>
      </c>
      <c r="P82" s="214">
        <f>'[1]GEOPARTS Lot 5'!H121</f>
        <v>290207.96999999997</v>
      </c>
      <c r="Q82" s="214">
        <f>'[1]GEOPARTS Lot 5'!I121</f>
        <v>226685.32550000001</v>
      </c>
      <c r="R82" s="214">
        <f>'[1]GEOPARTS Lot 5'!J121</f>
        <v>219427.1096</v>
      </c>
      <c r="S82" s="214">
        <f>'[1]GEOPARTS Lot 5'!K121</f>
        <v>297475.46399999998</v>
      </c>
      <c r="T82" s="214">
        <f>'[1]GEOPARTS Lot 5'!L121</f>
        <v>403043.46220000001</v>
      </c>
      <c r="U82" s="214">
        <f>'[1]GEOPARTS Lot 5'!M121</f>
        <v>261500.7114</v>
      </c>
      <c r="V82" s="214">
        <f>'[1]GEOPARTS Lot 5'!N121</f>
        <v>221869.49100000001</v>
      </c>
      <c r="W82" s="276">
        <f>SUM(K82:V82)</f>
        <v>3041419.2574999998</v>
      </c>
      <c r="X82" s="205">
        <f>SUM(K82:P82)</f>
        <v>1411417.6938</v>
      </c>
      <c r="Y82" s="273" t="s">
        <v>1953</v>
      </c>
      <c r="Z82" s="275"/>
      <c r="AA82" s="296" t="s">
        <v>1954</v>
      </c>
      <c r="AB82">
        <v>1</v>
      </c>
    </row>
    <row r="83" spans="1:29" ht="15" hidden="1" customHeight="1">
      <c r="A83" s="209">
        <v>83</v>
      </c>
      <c r="B83" s="295" t="s">
        <v>5</v>
      </c>
      <c r="C83" s="273" t="s">
        <v>1948</v>
      </c>
      <c r="D83" s="273"/>
      <c r="E83" s="275" t="s">
        <v>17</v>
      </c>
      <c r="F83" s="273" t="s">
        <v>1959</v>
      </c>
      <c r="G83" s="274" t="s">
        <v>1963</v>
      </c>
      <c r="H83" s="273"/>
      <c r="I83" s="275"/>
      <c r="J83" s="261" t="s">
        <v>19</v>
      </c>
      <c r="K83" s="214">
        <f>IF(K81=0,0,IF(K80=0,0,K81/K80))</f>
        <v>6.4162679425837323</v>
      </c>
      <c r="L83" s="214">
        <f t="shared" ref="L83:U83" si="28">IF(L81=0,0,IF(L80=0,0,L81/L80))</f>
        <v>6.4767932489451479</v>
      </c>
      <c r="M83" s="214">
        <f>IF(M81=0,0,IF(M80=0,0,M81/M80))</f>
        <v>6.7264437689969601</v>
      </c>
      <c r="N83" s="214">
        <f t="shared" si="28"/>
        <v>6.017605633802817</v>
      </c>
      <c r="O83" s="214">
        <f t="shared" si="28"/>
        <v>5.6878306878306875</v>
      </c>
      <c r="P83" s="214">
        <f t="shared" si="28"/>
        <v>6.1764705882352944</v>
      </c>
      <c r="Q83" s="214">
        <f t="shared" si="28"/>
        <v>7.2914798206278029</v>
      </c>
      <c r="R83" s="214">
        <f t="shared" si="28"/>
        <v>6.5247933884297522</v>
      </c>
      <c r="S83" s="214">
        <f>IF(S81=0,0,IF(S80=0,0,S81/S80))</f>
        <v>7.2320819112627985</v>
      </c>
      <c r="T83" s="214">
        <f t="shared" si="28"/>
        <v>6.7151515151515149</v>
      </c>
      <c r="U83" s="214">
        <f t="shared" si="28"/>
        <v>6.1585365853658534</v>
      </c>
      <c r="V83" s="226">
        <f>IF(V80=0,0,IF(V81=0,0,V81/V80))</f>
        <v>7.8052631578947365</v>
      </c>
      <c r="W83" s="276">
        <f>IF(W80=0,0,IF(W81=0,0,W81/W80))</f>
        <v>6.5955165692007798</v>
      </c>
      <c r="X83" s="324">
        <f>SUM(K83:P83)</f>
        <v>37.501411870394634</v>
      </c>
      <c r="Y83" s="273" t="s">
        <v>1953</v>
      </c>
      <c r="Z83" s="275"/>
      <c r="AA83" s="296" t="s">
        <v>1954</v>
      </c>
      <c r="AB83">
        <v>2</v>
      </c>
    </row>
    <row r="84" spans="1:29" ht="15.75" hidden="1" customHeight="1" thickBot="1">
      <c r="A84" s="209">
        <v>84</v>
      </c>
      <c r="B84" s="302" t="s">
        <v>5</v>
      </c>
      <c r="C84" s="283" t="s">
        <v>1948</v>
      </c>
      <c r="D84" s="283"/>
      <c r="E84" s="311" t="s">
        <v>17</v>
      </c>
      <c r="F84" s="283" t="s">
        <v>1959</v>
      </c>
      <c r="G84" s="306" t="s">
        <v>1963</v>
      </c>
      <c r="H84" s="283"/>
      <c r="I84" s="311"/>
      <c r="J84" s="252" t="s">
        <v>16</v>
      </c>
      <c r="K84" s="253">
        <f>IF(K81=0,0,IF(K82=0,0,K82/K81))</f>
        <v>129.72754973900075</v>
      </c>
      <c r="L84" s="253">
        <f t="shared" ref="L84:X84" si="29">IF(L81=0,0,IF(L82=0,0,L82/L81))</f>
        <v>137.0405190879479</v>
      </c>
      <c r="M84" s="253">
        <f t="shared" si="29"/>
        <v>144.53755643922275</v>
      </c>
      <c r="N84" s="253">
        <f t="shared" si="29"/>
        <v>157.69071691047395</v>
      </c>
      <c r="O84" s="253">
        <f t="shared" si="29"/>
        <v>137.23984669767441</v>
      </c>
      <c r="P84" s="253">
        <f t="shared" si="29"/>
        <v>153.54919047619046</v>
      </c>
      <c r="Q84" s="253">
        <f t="shared" si="29"/>
        <v>139.41286931119311</v>
      </c>
      <c r="R84" s="253">
        <f t="shared" si="29"/>
        <v>138.96587055098163</v>
      </c>
      <c r="S84" s="253">
        <f t="shared" si="29"/>
        <v>140.38483435582822</v>
      </c>
      <c r="T84" s="253">
        <f t="shared" si="29"/>
        <v>181.87881868231048</v>
      </c>
      <c r="U84" s="253">
        <f t="shared" si="29"/>
        <v>172.60773029702969</v>
      </c>
      <c r="V84" s="255">
        <f t="shared" si="29"/>
        <v>149.60855765340526</v>
      </c>
      <c r="W84" s="256">
        <f t="shared" si="29"/>
        <v>149.81622863405744</v>
      </c>
      <c r="X84" s="299">
        <f t="shared" si="29"/>
        <v>144.56803173204958</v>
      </c>
      <c r="Y84" s="283" t="s">
        <v>1953</v>
      </c>
      <c r="Z84" s="311"/>
      <c r="AA84" s="312" t="s">
        <v>1954</v>
      </c>
      <c r="AB84">
        <v>2</v>
      </c>
    </row>
    <row r="85" spans="1:29" ht="15.75" hidden="1" customHeight="1">
      <c r="A85" s="193">
        <v>85</v>
      </c>
      <c r="B85" s="325" t="s">
        <v>5</v>
      </c>
      <c r="C85" s="303" t="s">
        <v>1931</v>
      </c>
      <c r="D85" s="303"/>
      <c r="E85" s="305" t="s">
        <v>20</v>
      </c>
      <c r="F85" s="303" t="s">
        <v>20</v>
      </c>
      <c r="G85" s="326"/>
      <c r="H85" s="303" t="s">
        <v>1964</v>
      </c>
      <c r="I85" s="305"/>
      <c r="J85" s="308" t="s">
        <v>10</v>
      </c>
      <c r="K85" s="239"/>
      <c r="L85" s="239"/>
      <c r="M85" s="327">
        <v>8214</v>
      </c>
      <c r="N85" s="328">
        <v>1716</v>
      </c>
      <c r="O85" s="328">
        <v>50874</v>
      </c>
      <c r="P85" s="328">
        <v>10296</v>
      </c>
      <c r="Q85" s="329"/>
      <c r="R85" s="328"/>
      <c r="S85" s="328"/>
      <c r="T85" s="328"/>
      <c r="U85" s="328"/>
      <c r="V85" s="330"/>
      <c r="W85" s="288">
        <f>SUM(K85:V85)</f>
        <v>71100</v>
      </c>
      <c r="X85" s="205">
        <f>SUM(K85:P85)</f>
        <v>71100</v>
      </c>
      <c r="Y85" s="326" t="s">
        <v>1965</v>
      </c>
      <c r="Z85" s="305"/>
      <c r="AA85" s="294" t="s">
        <v>1966</v>
      </c>
      <c r="AB85">
        <v>1</v>
      </c>
    </row>
    <row r="86" spans="1:29" ht="15.75" hidden="1" customHeight="1">
      <c r="A86" s="209">
        <v>86</v>
      </c>
      <c r="B86" s="295" t="s">
        <v>5</v>
      </c>
      <c r="C86" s="273" t="s">
        <v>1931</v>
      </c>
      <c r="D86" s="273"/>
      <c r="E86" s="275" t="s">
        <v>20</v>
      </c>
      <c r="F86" s="273" t="s">
        <v>20</v>
      </c>
      <c r="G86" s="274"/>
      <c r="H86" s="273" t="s">
        <v>1964</v>
      </c>
      <c r="I86" s="275"/>
      <c r="J86" s="261" t="s">
        <v>14</v>
      </c>
      <c r="K86" s="214"/>
      <c r="L86" s="214"/>
      <c r="M86" s="331">
        <v>128000</v>
      </c>
      <c r="N86" s="214">
        <v>14000</v>
      </c>
      <c r="O86" s="214">
        <v>1386000</v>
      </c>
      <c r="P86" s="214">
        <v>260663</v>
      </c>
      <c r="Q86" s="324"/>
      <c r="R86" s="214"/>
      <c r="S86" s="214"/>
      <c r="T86" s="214"/>
      <c r="U86" s="214"/>
      <c r="V86" s="226"/>
      <c r="W86" s="276">
        <f>SUM(K86:V86)</f>
        <v>1788663</v>
      </c>
      <c r="X86" s="205">
        <f>SUM(K86:P86)</f>
        <v>1788663</v>
      </c>
      <c r="Y86" s="274" t="s">
        <v>1965</v>
      </c>
      <c r="Z86" s="307"/>
      <c r="AA86" s="296" t="s">
        <v>1966</v>
      </c>
      <c r="AB86">
        <v>1</v>
      </c>
    </row>
    <row r="87" spans="1:29" ht="15.75" hidden="1" customHeight="1" thickBot="1">
      <c r="A87" s="209">
        <v>87</v>
      </c>
      <c r="B87" s="298" t="s">
        <v>5</v>
      </c>
      <c r="C87" s="277" t="s">
        <v>1931</v>
      </c>
      <c r="D87" s="277"/>
      <c r="E87" s="279" t="s">
        <v>20</v>
      </c>
      <c r="F87" s="277" t="s">
        <v>20</v>
      </c>
      <c r="G87" s="314"/>
      <c r="H87" s="315" t="s">
        <v>1964</v>
      </c>
      <c r="I87" s="316"/>
      <c r="J87" s="252" t="s">
        <v>16</v>
      </c>
      <c r="K87" s="253">
        <f>IF(K86=0,0,IF(K85=0,0,K86/K85))</f>
        <v>0</v>
      </c>
      <c r="L87" s="253">
        <f t="shared" ref="L87:X87" si="30">IF(L86=0,0,IF(L85=0,0,L86/L85))</f>
        <v>0</v>
      </c>
      <c r="M87" s="253">
        <f t="shared" si="30"/>
        <v>15.583150718285854</v>
      </c>
      <c r="N87" s="253">
        <f t="shared" si="30"/>
        <v>8.1585081585081589</v>
      </c>
      <c r="O87" s="253">
        <f t="shared" si="30"/>
        <v>27.24377874749381</v>
      </c>
      <c r="P87" s="253">
        <f t="shared" si="30"/>
        <v>25.31691919191919</v>
      </c>
      <c r="Q87" s="253">
        <f t="shared" si="30"/>
        <v>0</v>
      </c>
      <c r="R87" s="253">
        <f t="shared" si="30"/>
        <v>0</v>
      </c>
      <c r="S87" s="253">
        <f t="shared" si="30"/>
        <v>0</v>
      </c>
      <c r="T87" s="253">
        <f t="shared" si="30"/>
        <v>0</v>
      </c>
      <c r="U87" s="253">
        <f t="shared" si="30"/>
        <v>0</v>
      </c>
      <c r="V87" s="255">
        <f t="shared" si="30"/>
        <v>0</v>
      </c>
      <c r="W87" s="256">
        <f t="shared" si="30"/>
        <v>25.157004219409284</v>
      </c>
      <c r="X87" s="299">
        <f t="shared" si="30"/>
        <v>25.157004219409284</v>
      </c>
      <c r="Y87" s="278" t="s">
        <v>1965</v>
      </c>
      <c r="Z87" s="316"/>
      <c r="AA87" s="300" t="s">
        <v>1966</v>
      </c>
      <c r="AB87">
        <v>2</v>
      </c>
    </row>
    <row r="88" spans="1:29" ht="15.75" hidden="1" customHeight="1">
      <c r="A88" s="209">
        <v>88</v>
      </c>
      <c r="B88" s="321" t="s">
        <v>5</v>
      </c>
      <c r="C88" s="304" t="s">
        <v>1931</v>
      </c>
      <c r="D88" s="304"/>
      <c r="E88" s="307" t="s">
        <v>20</v>
      </c>
      <c r="F88" s="304" t="s">
        <v>20</v>
      </c>
      <c r="G88" s="322"/>
      <c r="H88" s="304" t="s">
        <v>1967</v>
      </c>
      <c r="I88" s="307"/>
      <c r="J88" s="308" t="s">
        <v>10</v>
      </c>
      <c r="K88" s="239"/>
      <c r="L88" s="239">
        <v>1457</v>
      </c>
      <c r="M88" s="239"/>
      <c r="N88" s="239">
        <v>2732</v>
      </c>
      <c r="O88" s="239">
        <v>12065</v>
      </c>
      <c r="P88" s="239">
        <v>9270</v>
      </c>
      <c r="Q88" s="332"/>
      <c r="R88" s="239"/>
      <c r="S88" s="239"/>
      <c r="T88" s="239"/>
      <c r="U88" s="328"/>
      <c r="V88" s="330"/>
      <c r="W88" s="288">
        <f>SUM(K88:V88)</f>
        <v>25524</v>
      </c>
      <c r="X88" s="205">
        <f>SUM(K88:P88)</f>
        <v>25524</v>
      </c>
      <c r="Y88" s="322" t="s">
        <v>1965</v>
      </c>
      <c r="Z88" s="307"/>
      <c r="AA88" s="323" t="s">
        <v>1968</v>
      </c>
      <c r="AB88">
        <v>1</v>
      </c>
    </row>
    <row r="89" spans="1:29" ht="15.75" hidden="1" customHeight="1">
      <c r="A89" s="193">
        <v>89</v>
      </c>
      <c r="B89" s="295" t="s">
        <v>5</v>
      </c>
      <c r="C89" s="273" t="s">
        <v>1931</v>
      </c>
      <c r="D89" s="273"/>
      <c r="E89" s="275" t="s">
        <v>20</v>
      </c>
      <c r="F89" s="273" t="s">
        <v>20</v>
      </c>
      <c r="G89" s="274"/>
      <c r="H89" s="273" t="s">
        <v>1967</v>
      </c>
      <c r="I89" s="275"/>
      <c r="J89" s="261" t="s">
        <v>14</v>
      </c>
      <c r="K89" s="214"/>
      <c r="L89" s="214">
        <v>17925</v>
      </c>
      <c r="M89" s="214"/>
      <c r="N89" s="214">
        <v>52998</v>
      </c>
      <c r="O89" s="214">
        <v>162309</v>
      </c>
      <c r="P89" s="214">
        <v>111601</v>
      </c>
      <c r="Q89" s="324"/>
      <c r="R89" s="214"/>
      <c r="S89" s="214"/>
      <c r="T89" s="214"/>
      <c r="U89" s="214"/>
      <c r="V89" s="226"/>
      <c r="W89" s="276">
        <f>SUM(K89:V89)</f>
        <v>344833</v>
      </c>
      <c r="X89" s="205">
        <f>SUM(K89:P89)</f>
        <v>344833</v>
      </c>
      <c r="Y89" s="274" t="s">
        <v>1965</v>
      </c>
      <c r="Z89" s="307"/>
      <c r="AA89" s="323" t="s">
        <v>1968</v>
      </c>
      <c r="AB89">
        <v>1</v>
      </c>
    </row>
    <row r="90" spans="1:29" ht="15.75" hidden="1" customHeight="1" thickBot="1">
      <c r="A90" s="209">
        <v>90</v>
      </c>
      <c r="B90" s="302" t="s">
        <v>5</v>
      </c>
      <c r="C90" s="283" t="s">
        <v>1931</v>
      </c>
      <c r="D90" s="283"/>
      <c r="E90" s="311" t="s">
        <v>20</v>
      </c>
      <c r="F90" s="283" t="s">
        <v>20</v>
      </c>
      <c r="G90" s="322"/>
      <c r="H90" s="304" t="s">
        <v>1967</v>
      </c>
      <c r="I90" s="307"/>
      <c r="J90" s="252" t="s">
        <v>16</v>
      </c>
      <c r="K90" s="253">
        <f>IF(K89=0,0,IF(K88=0,0,K89/K88))</f>
        <v>0</v>
      </c>
      <c r="L90" s="253">
        <f t="shared" ref="L90:X90" si="31">IF(L89=0,0,IF(L88=0,0,L89/L88))</f>
        <v>12.30267673301304</v>
      </c>
      <c r="M90" s="253">
        <f t="shared" si="31"/>
        <v>0</v>
      </c>
      <c r="N90" s="253">
        <f t="shared" si="31"/>
        <v>19.398975109809662</v>
      </c>
      <c r="O90" s="253">
        <f t="shared" si="31"/>
        <v>13.452880232076254</v>
      </c>
      <c r="P90" s="253">
        <f t="shared" si="31"/>
        <v>12.038942826321467</v>
      </c>
      <c r="Q90" s="253">
        <f t="shared" si="31"/>
        <v>0</v>
      </c>
      <c r="R90" s="253">
        <f t="shared" si="31"/>
        <v>0</v>
      </c>
      <c r="S90" s="253">
        <f t="shared" si="31"/>
        <v>0</v>
      </c>
      <c r="T90" s="253">
        <f t="shared" si="31"/>
        <v>0</v>
      </c>
      <c r="U90" s="253">
        <f t="shared" si="31"/>
        <v>0</v>
      </c>
      <c r="V90" s="255">
        <f t="shared" si="31"/>
        <v>0</v>
      </c>
      <c r="W90" s="256">
        <f t="shared" si="31"/>
        <v>13.510147312333491</v>
      </c>
      <c r="X90" s="299">
        <f t="shared" si="31"/>
        <v>13.510147312333491</v>
      </c>
      <c r="Y90" s="306" t="s">
        <v>1965</v>
      </c>
      <c r="Z90" s="307"/>
      <c r="AA90" s="323" t="s">
        <v>1968</v>
      </c>
      <c r="AB90">
        <v>2</v>
      </c>
    </row>
    <row r="91" spans="1:29" ht="15.75" hidden="1" customHeight="1">
      <c r="A91" s="333">
        <v>178</v>
      </c>
      <c r="B91" s="334" t="s">
        <v>5</v>
      </c>
      <c r="C91" s="267" t="s">
        <v>1955</v>
      </c>
      <c r="D91" s="284" t="s">
        <v>1955</v>
      </c>
      <c r="E91" s="286" t="s">
        <v>20</v>
      </c>
      <c r="F91" s="267" t="s">
        <v>20</v>
      </c>
      <c r="G91" s="335"/>
      <c r="H91" s="284"/>
      <c r="I91" s="336"/>
      <c r="J91" s="292" t="s">
        <v>10</v>
      </c>
      <c r="K91" s="327"/>
      <c r="L91" s="327"/>
      <c r="M91" s="327">
        <v>14713</v>
      </c>
      <c r="N91" s="327">
        <v>4594</v>
      </c>
      <c r="O91" s="327">
        <v>17093</v>
      </c>
      <c r="P91" s="327">
        <v>11354</v>
      </c>
      <c r="Q91" s="327"/>
      <c r="R91" s="327"/>
      <c r="S91" s="327"/>
      <c r="T91" s="327"/>
      <c r="U91" s="327"/>
      <c r="V91" s="337"/>
      <c r="W91" s="338">
        <f>SUM(K91:V91)</f>
        <v>47754</v>
      </c>
      <c r="X91" s="205">
        <f>SUM(K91:P91)</f>
        <v>47754</v>
      </c>
      <c r="Y91" s="196" t="s">
        <v>1965</v>
      </c>
      <c r="Z91" s="339"/>
      <c r="AA91" s="340"/>
      <c r="AB91">
        <v>1</v>
      </c>
    </row>
    <row r="92" spans="1:29" ht="15.75" hidden="1" customHeight="1">
      <c r="A92" s="333">
        <v>179</v>
      </c>
      <c r="B92" s="341" t="s">
        <v>5</v>
      </c>
      <c r="C92" s="273" t="s">
        <v>1955</v>
      </c>
      <c r="D92" s="289" t="s">
        <v>1955</v>
      </c>
      <c r="E92" s="275" t="s">
        <v>20</v>
      </c>
      <c r="F92" s="273" t="s">
        <v>20</v>
      </c>
      <c r="G92" s="342"/>
      <c r="H92" s="289"/>
      <c r="I92" s="343"/>
      <c r="J92" s="301" t="s">
        <v>14</v>
      </c>
      <c r="K92" s="331"/>
      <c r="L92" s="331"/>
      <c r="M92" s="331">
        <v>112634</v>
      </c>
      <c r="N92" s="331">
        <v>36341</v>
      </c>
      <c r="O92" s="331">
        <v>129631</v>
      </c>
      <c r="P92" s="331">
        <v>86953</v>
      </c>
      <c r="Q92" s="331"/>
      <c r="R92" s="331"/>
      <c r="S92" s="331"/>
      <c r="T92" s="331"/>
      <c r="U92" s="331"/>
      <c r="V92" s="344"/>
      <c r="W92" s="281">
        <f>SUM(K92:V92)</f>
        <v>365559</v>
      </c>
      <c r="X92" s="205">
        <f>SUM(K92:P92)</f>
        <v>365559</v>
      </c>
      <c r="Y92" s="1" t="s">
        <v>1965</v>
      </c>
      <c r="Z92" s="8"/>
      <c r="AA92" s="345"/>
      <c r="AB92">
        <v>1</v>
      </c>
    </row>
    <row r="93" spans="1:29" ht="15.75" hidden="1" customHeight="1" thickBot="1">
      <c r="A93" s="333">
        <v>180</v>
      </c>
      <c r="B93" s="346" t="s">
        <v>5</v>
      </c>
      <c r="C93" s="315" t="s">
        <v>1955</v>
      </c>
      <c r="D93" s="347" t="s">
        <v>1955</v>
      </c>
      <c r="E93" s="316" t="s">
        <v>20</v>
      </c>
      <c r="F93" s="315" t="s">
        <v>20</v>
      </c>
      <c r="G93" s="348"/>
      <c r="H93" s="347"/>
      <c r="I93" s="349"/>
      <c r="J93" s="252" t="s">
        <v>16</v>
      </c>
      <c r="K93" s="253">
        <f>IF(K92=0,0,IF(K91=0,0,K92/K91))</f>
        <v>0</v>
      </c>
      <c r="L93" s="253">
        <f t="shared" ref="L93:V93" si="32">IF(L92=0,0,IF(L91=0,0,L92/L91))</f>
        <v>0</v>
      </c>
      <c r="M93" s="253">
        <f t="shared" si="32"/>
        <v>7.6554067831169714</v>
      </c>
      <c r="N93" s="253">
        <f t="shared" si="32"/>
        <v>7.9105354810622552</v>
      </c>
      <c r="O93" s="253">
        <f t="shared" si="32"/>
        <v>7.5838647399520269</v>
      </c>
      <c r="P93" s="253">
        <f t="shared" si="32"/>
        <v>7.6583582878280785</v>
      </c>
      <c r="Q93" s="253">
        <f t="shared" si="32"/>
        <v>0</v>
      </c>
      <c r="R93" s="253">
        <f t="shared" si="32"/>
        <v>0</v>
      </c>
      <c r="S93" s="253">
        <f t="shared" si="32"/>
        <v>0</v>
      </c>
      <c r="T93" s="253">
        <f t="shared" si="32"/>
        <v>0</v>
      </c>
      <c r="U93" s="253">
        <f t="shared" si="32"/>
        <v>0</v>
      </c>
      <c r="V93" s="253">
        <f t="shared" si="32"/>
        <v>0</v>
      </c>
      <c r="W93" s="256">
        <f>IF(W92=0,0,IF(W91=0,0,W92/W91))</f>
        <v>7.6550446035934163</v>
      </c>
      <c r="X93" s="299">
        <f>IF(X92=0,0,IF(X91=0,0,X92/X91))</f>
        <v>7.6550446035934163</v>
      </c>
      <c r="Y93" s="350" t="s">
        <v>1965</v>
      </c>
      <c r="Z93" s="351"/>
      <c r="AA93" s="352"/>
      <c r="AB93">
        <v>2</v>
      </c>
    </row>
    <row r="94" spans="1:29" ht="15.75" hidden="1" customHeight="1">
      <c r="A94" s="209">
        <v>91</v>
      </c>
      <c r="B94" s="194" t="s">
        <v>5</v>
      </c>
      <c r="C94" s="353" t="s">
        <v>1931</v>
      </c>
      <c r="D94" s="353"/>
      <c r="E94" s="354" t="s">
        <v>21</v>
      </c>
      <c r="F94" s="353" t="s">
        <v>1969</v>
      </c>
      <c r="G94" s="355" t="s">
        <v>1970</v>
      </c>
      <c r="H94" s="353" t="s">
        <v>1967</v>
      </c>
      <c r="I94" s="354" t="s">
        <v>1971</v>
      </c>
      <c r="J94" s="356" t="s">
        <v>22</v>
      </c>
      <c r="K94" s="201">
        <v>366</v>
      </c>
      <c r="L94" s="201">
        <v>682</v>
      </c>
      <c r="M94" s="201">
        <v>1102</v>
      </c>
      <c r="N94" s="201">
        <v>764</v>
      </c>
      <c r="O94" s="201">
        <v>395</v>
      </c>
      <c r="P94" s="201">
        <v>645</v>
      </c>
      <c r="Q94" s="201"/>
      <c r="R94" s="201"/>
      <c r="S94" s="201"/>
      <c r="T94" s="201"/>
      <c r="U94" s="201"/>
      <c r="V94" s="224"/>
      <c r="W94" s="357">
        <f>SUM(K94:V94)</f>
        <v>3954</v>
      </c>
      <c r="X94" s="205">
        <f t="shared" ref="X94:X99" si="33">SUM(K94:P94)</f>
        <v>3954</v>
      </c>
      <c r="Y94" s="195" t="s">
        <v>1965</v>
      </c>
      <c r="Z94" s="197"/>
      <c r="AA94" s="207" t="s">
        <v>1972</v>
      </c>
      <c r="AB94">
        <v>1</v>
      </c>
    </row>
    <row r="95" spans="1:29" ht="15.75" hidden="1" customHeight="1">
      <c r="A95" s="209">
        <v>92</v>
      </c>
      <c r="B95" s="210" t="s">
        <v>5</v>
      </c>
      <c r="C95" s="289" t="s">
        <v>1931</v>
      </c>
      <c r="D95" s="289"/>
      <c r="E95" s="358" t="s">
        <v>21</v>
      </c>
      <c r="F95" s="289" t="s">
        <v>1969</v>
      </c>
      <c r="G95" s="342" t="s">
        <v>1970</v>
      </c>
      <c r="H95" s="289" t="s">
        <v>1967</v>
      </c>
      <c r="I95" s="358" t="s">
        <v>1971</v>
      </c>
      <c r="J95" s="359" t="s">
        <v>10</v>
      </c>
      <c r="K95" s="214">
        <v>12624.199999999999</v>
      </c>
      <c r="L95" s="214">
        <v>24999</v>
      </c>
      <c r="M95" s="214">
        <v>35026.200000000004</v>
      </c>
      <c r="N95" s="214">
        <v>26803.399999999998</v>
      </c>
      <c r="O95" s="214">
        <v>23656.7</v>
      </c>
      <c r="P95" s="214">
        <v>35093</v>
      </c>
      <c r="Q95" s="214"/>
      <c r="R95" s="214"/>
      <c r="S95" s="214"/>
      <c r="T95" s="214"/>
      <c r="U95" s="214"/>
      <c r="V95" s="226"/>
      <c r="W95" s="357">
        <f>SUM(K95:V95)</f>
        <v>158202.5</v>
      </c>
      <c r="X95" s="205">
        <f t="shared" si="33"/>
        <v>158202.5</v>
      </c>
      <c r="Y95" s="1" t="s">
        <v>1965</v>
      </c>
      <c r="Z95" s="211"/>
      <c r="AA95" s="218" t="s">
        <v>1972</v>
      </c>
      <c r="AB95">
        <v>1</v>
      </c>
    </row>
    <row r="96" spans="1:29" ht="15.75" hidden="1" customHeight="1">
      <c r="A96" s="193">
        <v>93</v>
      </c>
      <c r="B96" s="210" t="s">
        <v>5</v>
      </c>
      <c r="C96" s="289" t="s">
        <v>1931</v>
      </c>
      <c r="D96" s="289"/>
      <c r="E96" s="358" t="s">
        <v>21</v>
      </c>
      <c r="F96" s="289" t="s">
        <v>1969</v>
      </c>
      <c r="G96" s="342" t="s">
        <v>1970</v>
      </c>
      <c r="H96" s="289" t="s">
        <v>1967</v>
      </c>
      <c r="I96" s="358" t="s">
        <v>1971</v>
      </c>
      <c r="J96" s="359" t="s">
        <v>23</v>
      </c>
      <c r="K96" s="214">
        <v>223657.71882511268</v>
      </c>
      <c r="L96" s="214">
        <v>223657.71882511268</v>
      </c>
      <c r="M96" s="214">
        <v>223657.71882511268</v>
      </c>
      <c r="N96" s="214">
        <v>223657.71882511268</v>
      </c>
      <c r="O96" s="214">
        <v>223657.71882511268</v>
      </c>
      <c r="P96" s="214">
        <v>223657.71882511268</v>
      </c>
      <c r="Q96" s="214"/>
      <c r="R96" s="214"/>
      <c r="S96" s="214"/>
      <c r="T96" s="214"/>
      <c r="U96" s="214"/>
      <c r="V96" s="226"/>
      <c r="W96" s="357">
        <f>SUM(K96:V96)</f>
        <v>1341946.3129506758</v>
      </c>
      <c r="X96" s="205">
        <f t="shared" si="33"/>
        <v>1341946.3129506758</v>
      </c>
      <c r="Y96" s="1" t="s">
        <v>1965</v>
      </c>
      <c r="Z96" s="211"/>
      <c r="AA96" s="218" t="s">
        <v>1972</v>
      </c>
      <c r="AB96">
        <v>1</v>
      </c>
      <c r="AC96">
        <v>12</v>
      </c>
    </row>
    <row r="97" spans="1:28" ht="15.75" hidden="1" customHeight="1">
      <c r="A97" s="209">
        <v>94</v>
      </c>
      <c r="B97" s="210" t="s">
        <v>5</v>
      </c>
      <c r="C97" s="289" t="s">
        <v>1931</v>
      </c>
      <c r="D97" s="289"/>
      <c r="E97" s="358" t="s">
        <v>21</v>
      </c>
      <c r="F97" s="289" t="s">
        <v>1969</v>
      </c>
      <c r="G97" s="342" t="s">
        <v>1970</v>
      </c>
      <c r="H97" s="289" t="s">
        <v>1967</v>
      </c>
      <c r="I97" s="358" t="s">
        <v>1971</v>
      </c>
      <c r="J97" s="359" t="s">
        <v>24</v>
      </c>
      <c r="K97" s="214">
        <v>21085.483964010426</v>
      </c>
      <c r="L97" s="214">
        <v>114539.970663577</v>
      </c>
      <c r="M97" s="214">
        <v>142551.58322814436</v>
      </c>
      <c r="N97" s="214">
        <v>98865.047818619583</v>
      </c>
      <c r="O97" s="214">
        <v>51106.944164192602</v>
      </c>
      <c r="P97" s="214">
        <v>83453.111356719572</v>
      </c>
      <c r="Q97" s="214"/>
      <c r="R97" s="214"/>
      <c r="S97" s="214"/>
      <c r="T97" s="214"/>
      <c r="U97" s="214"/>
      <c r="V97" s="226"/>
      <c r="W97" s="282">
        <f>SUM(K97:V97)</f>
        <v>511602.14119526354</v>
      </c>
      <c r="X97" s="205">
        <f t="shared" si="33"/>
        <v>511602.14119526354</v>
      </c>
      <c r="Y97" s="1" t="s">
        <v>1965</v>
      </c>
      <c r="Z97" s="211"/>
      <c r="AA97" s="218" t="s">
        <v>1972</v>
      </c>
      <c r="AB97">
        <v>1</v>
      </c>
    </row>
    <row r="98" spans="1:28" ht="15.75" hidden="1" customHeight="1">
      <c r="A98" s="209">
        <v>95</v>
      </c>
      <c r="B98" s="210" t="s">
        <v>5</v>
      </c>
      <c r="C98" s="289" t="s">
        <v>1931</v>
      </c>
      <c r="D98" s="289"/>
      <c r="E98" s="358" t="s">
        <v>21</v>
      </c>
      <c r="F98" s="289" t="s">
        <v>1969</v>
      </c>
      <c r="G98" s="342" t="s">
        <v>1970</v>
      </c>
      <c r="H98" s="289" t="s">
        <v>1967</v>
      </c>
      <c r="I98" s="358" t="s">
        <v>1971</v>
      </c>
      <c r="J98" s="359" t="s">
        <v>14</v>
      </c>
      <c r="K98" s="214">
        <v>244743.20278912311</v>
      </c>
      <c r="L98" s="214">
        <v>338197.68948868965</v>
      </c>
      <c r="M98" s="214">
        <v>366209.30205325701</v>
      </c>
      <c r="N98" s="214">
        <v>322522.76664373226</v>
      </c>
      <c r="O98" s="9">
        <v>274764.66298930527</v>
      </c>
      <c r="P98" s="9">
        <v>307110.83018183225</v>
      </c>
      <c r="Q98" s="9"/>
      <c r="R98" s="9"/>
      <c r="S98" s="9"/>
      <c r="T98" s="9"/>
      <c r="U98" s="9"/>
      <c r="V98" s="360"/>
      <c r="W98" s="282">
        <f>SUM(K98:V98)</f>
        <v>1853548.4541459396</v>
      </c>
      <c r="X98" s="205">
        <f t="shared" si="33"/>
        <v>1853548.4541459396</v>
      </c>
      <c r="Y98" s="1" t="s">
        <v>1965</v>
      </c>
      <c r="Z98" s="211"/>
      <c r="AA98" s="218" t="s">
        <v>1972</v>
      </c>
      <c r="AB98">
        <v>1</v>
      </c>
    </row>
    <row r="99" spans="1:28" ht="15.75" hidden="1" customHeight="1">
      <c r="A99" s="209">
        <v>96</v>
      </c>
      <c r="B99" s="210" t="s">
        <v>5</v>
      </c>
      <c r="C99" s="289" t="s">
        <v>1931</v>
      </c>
      <c r="D99" s="289"/>
      <c r="E99" s="358" t="s">
        <v>21</v>
      </c>
      <c r="F99" s="289" t="s">
        <v>1969</v>
      </c>
      <c r="G99" s="342" t="s">
        <v>1970</v>
      </c>
      <c r="H99" s="289" t="s">
        <v>1967</v>
      </c>
      <c r="I99" s="358" t="s">
        <v>1971</v>
      </c>
      <c r="J99" s="359" t="s">
        <v>25</v>
      </c>
      <c r="K99" s="214">
        <v>34.491803278688522</v>
      </c>
      <c r="L99" s="214">
        <v>36.064516129032256</v>
      </c>
      <c r="M99" s="214">
        <v>36.516333938294011</v>
      </c>
      <c r="N99" s="214">
        <v>42.732984293193716</v>
      </c>
      <c r="O99" s="9">
        <v>32.913924050632914</v>
      </c>
      <c r="P99" s="9">
        <v>54.407751937984493</v>
      </c>
      <c r="Q99" s="9"/>
      <c r="R99" s="9"/>
      <c r="S99" s="9"/>
      <c r="T99" s="9"/>
      <c r="U99" s="9"/>
      <c r="V99" s="360"/>
      <c r="W99" s="282">
        <f>IF(W95=0,0,IF(W94=0,0,W95/W94))</f>
        <v>40.010748609003542</v>
      </c>
      <c r="X99" s="361">
        <f t="shared" si="33"/>
        <v>237.12731362782591</v>
      </c>
      <c r="Y99" s="1" t="s">
        <v>1965</v>
      </c>
      <c r="Z99" s="211"/>
      <c r="AA99" s="218" t="s">
        <v>1972</v>
      </c>
      <c r="AB99">
        <v>2</v>
      </c>
    </row>
    <row r="100" spans="1:28" ht="15.75" hidden="1" customHeight="1" thickBot="1">
      <c r="A100" s="193">
        <v>97</v>
      </c>
      <c r="B100" s="250" t="s">
        <v>5</v>
      </c>
      <c r="C100" s="290" t="s">
        <v>1931</v>
      </c>
      <c r="D100" s="290"/>
      <c r="E100" s="362" t="s">
        <v>21</v>
      </c>
      <c r="F100" s="290" t="s">
        <v>1969</v>
      </c>
      <c r="G100" s="363" t="s">
        <v>1970</v>
      </c>
      <c r="H100" s="290" t="s">
        <v>1967</v>
      </c>
      <c r="I100" s="362" t="s">
        <v>1971</v>
      </c>
      <c r="J100" s="252" t="s">
        <v>16</v>
      </c>
      <c r="K100" s="253">
        <v>19.387135835640297</v>
      </c>
      <c r="L100" s="253">
        <v>13.750109346588456</v>
      </c>
      <c r="M100" s="253">
        <v>9.1004026255127108</v>
      </c>
      <c r="N100" s="253">
        <v>9.8787909410601653</v>
      </c>
      <c r="O100" s="253">
        <v>21.134117605515367</v>
      </c>
      <c r="P100" s="253">
        <v>8.7513415832739359</v>
      </c>
      <c r="Q100" s="253"/>
      <c r="R100" s="253"/>
      <c r="S100" s="253"/>
      <c r="T100" s="253"/>
      <c r="U100" s="253"/>
      <c r="V100" s="253"/>
      <c r="W100" s="256"/>
      <c r="X100" s="299">
        <f>IF(X99=0,0,IF(X98=0,0,X99/X98))</f>
        <v>1.2793154292644978E-4</v>
      </c>
      <c r="Y100" s="251" t="s">
        <v>1965</v>
      </c>
      <c r="Z100" s="234"/>
      <c r="AA100" s="235" t="s">
        <v>1972</v>
      </c>
      <c r="AB100">
        <v>2</v>
      </c>
    </row>
    <row r="101" spans="1:28" ht="15.75" hidden="1" customHeight="1">
      <c r="A101" s="209">
        <v>98</v>
      </c>
      <c r="B101" s="237" t="s">
        <v>5</v>
      </c>
      <c r="C101" s="284" t="s">
        <v>1931</v>
      </c>
      <c r="D101" s="284"/>
      <c r="E101" s="336" t="s">
        <v>21</v>
      </c>
      <c r="F101" s="284" t="s">
        <v>1969</v>
      </c>
      <c r="G101" s="335" t="s">
        <v>1970</v>
      </c>
      <c r="H101" s="284" t="s">
        <v>1967</v>
      </c>
      <c r="I101" s="336" t="s">
        <v>1973</v>
      </c>
      <c r="J101" s="364" t="s">
        <v>22</v>
      </c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87"/>
      <c r="W101" s="288">
        <f t="shared" ref="W101:W106" si="34">SUM(K101:V101)</f>
        <v>0</v>
      </c>
      <c r="X101" s="205">
        <f>SUM(K101:O101)</f>
        <v>0</v>
      </c>
      <c r="Y101" s="196" t="s">
        <v>1965</v>
      </c>
      <c r="Z101" s="199"/>
      <c r="AA101" s="244" t="s">
        <v>1972</v>
      </c>
      <c r="AB101">
        <v>1</v>
      </c>
    </row>
    <row r="102" spans="1:28" ht="15.75" hidden="1" customHeight="1">
      <c r="A102" s="209">
        <v>99</v>
      </c>
      <c r="B102" s="210" t="s">
        <v>5</v>
      </c>
      <c r="C102" s="289" t="s">
        <v>1931</v>
      </c>
      <c r="D102" s="289"/>
      <c r="E102" s="358" t="s">
        <v>21</v>
      </c>
      <c r="F102" s="289" t="s">
        <v>1969</v>
      </c>
      <c r="G102" s="342" t="s">
        <v>1970</v>
      </c>
      <c r="H102" s="289" t="s">
        <v>1967</v>
      </c>
      <c r="I102" s="358" t="s">
        <v>1973</v>
      </c>
      <c r="J102" s="359" t="s">
        <v>10</v>
      </c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26"/>
      <c r="W102" s="276">
        <f t="shared" si="34"/>
        <v>0</v>
      </c>
      <c r="X102" s="205">
        <f>SUM(K102:O102)</f>
        <v>0</v>
      </c>
      <c r="Y102" s="1" t="s">
        <v>1965</v>
      </c>
      <c r="Z102" s="211"/>
      <c r="AA102" s="218" t="s">
        <v>1972</v>
      </c>
      <c r="AB102">
        <v>1</v>
      </c>
    </row>
    <row r="103" spans="1:28" ht="15.75" hidden="1" customHeight="1">
      <c r="A103" s="209">
        <v>100</v>
      </c>
      <c r="B103" s="210" t="s">
        <v>5</v>
      </c>
      <c r="C103" s="289" t="s">
        <v>1931</v>
      </c>
      <c r="D103" s="289"/>
      <c r="E103" s="358" t="s">
        <v>21</v>
      </c>
      <c r="F103" s="289" t="s">
        <v>1969</v>
      </c>
      <c r="G103" s="342" t="s">
        <v>1970</v>
      </c>
      <c r="H103" s="289" t="s">
        <v>1967</v>
      </c>
      <c r="I103" s="358" t="s">
        <v>1973</v>
      </c>
      <c r="J103" s="359" t="s">
        <v>23</v>
      </c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26"/>
      <c r="W103" s="276">
        <f t="shared" si="34"/>
        <v>0</v>
      </c>
      <c r="X103" s="205">
        <f>SUM(K103:O103)</f>
        <v>0</v>
      </c>
      <c r="Y103" s="1" t="s">
        <v>1965</v>
      </c>
      <c r="Z103" s="211"/>
      <c r="AA103" s="218" t="s">
        <v>1972</v>
      </c>
      <c r="AB103">
        <v>1</v>
      </c>
    </row>
    <row r="104" spans="1:28" ht="15.75" hidden="1" customHeight="1">
      <c r="A104" s="193">
        <v>101</v>
      </c>
      <c r="B104" s="210" t="s">
        <v>5</v>
      </c>
      <c r="C104" s="289" t="s">
        <v>1931</v>
      </c>
      <c r="D104" s="289"/>
      <c r="E104" s="358" t="s">
        <v>21</v>
      </c>
      <c r="F104" s="289" t="s">
        <v>1969</v>
      </c>
      <c r="G104" s="342" t="s">
        <v>1970</v>
      </c>
      <c r="H104" s="289" t="s">
        <v>1967</v>
      </c>
      <c r="I104" s="358" t="s">
        <v>1973</v>
      </c>
      <c r="J104" s="359" t="s">
        <v>24</v>
      </c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26"/>
      <c r="W104" s="276">
        <f t="shared" si="34"/>
        <v>0</v>
      </c>
      <c r="X104" s="205">
        <f>SUM(K104:O104)</f>
        <v>0</v>
      </c>
      <c r="Y104" s="1" t="s">
        <v>1965</v>
      </c>
      <c r="Z104" s="211"/>
      <c r="AA104" s="218" t="s">
        <v>1972</v>
      </c>
      <c r="AB104">
        <v>1</v>
      </c>
    </row>
    <row r="105" spans="1:28" ht="15.75" hidden="1" customHeight="1">
      <c r="A105" s="209">
        <v>102</v>
      </c>
      <c r="B105" s="210" t="s">
        <v>5</v>
      </c>
      <c r="C105" s="289" t="s">
        <v>1931</v>
      </c>
      <c r="D105" s="289"/>
      <c r="E105" s="358" t="s">
        <v>21</v>
      </c>
      <c r="F105" s="289" t="s">
        <v>1969</v>
      </c>
      <c r="G105" s="342" t="s">
        <v>1970</v>
      </c>
      <c r="H105" s="289" t="s">
        <v>1967</v>
      </c>
      <c r="I105" s="358" t="s">
        <v>1973</v>
      </c>
      <c r="J105" s="359" t="s">
        <v>14</v>
      </c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360"/>
      <c r="W105" s="282">
        <f t="shared" si="34"/>
        <v>0</v>
      </c>
      <c r="X105" s="205">
        <f>SUM(K105:O105)</f>
        <v>0</v>
      </c>
      <c r="Y105" s="1" t="s">
        <v>1965</v>
      </c>
      <c r="Z105" s="211"/>
      <c r="AA105" s="218" t="s">
        <v>1972</v>
      </c>
      <c r="AB105">
        <v>1</v>
      </c>
    </row>
    <row r="106" spans="1:28" ht="15.75" hidden="1" customHeight="1">
      <c r="A106" s="209">
        <v>103</v>
      </c>
      <c r="B106" s="210" t="s">
        <v>5</v>
      </c>
      <c r="C106" s="289" t="s">
        <v>1931</v>
      </c>
      <c r="D106" s="289"/>
      <c r="E106" s="358" t="s">
        <v>21</v>
      </c>
      <c r="F106" s="289" t="s">
        <v>1969</v>
      </c>
      <c r="G106" s="342" t="s">
        <v>1970</v>
      </c>
      <c r="H106" s="289" t="s">
        <v>1967</v>
      </c>
      <c r="I106" s="358" t="s">
        <v>1973</v>
      </c>
      <c r="J106" s="359" t="s">
        <v>25</v>
      </c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360"/>
      <c r="W106" s="282">
        <f t="shared" si="34"/>
        <v>0</v>
      </c>
      <c r="X106" s="324">
        <f>IF(X101=0,0,IF(X102=0,0,X102/X101))</f>
        <v>0</v>
      </c>
      <c r="Y106" s="1" t="s">
        <v>1965</v>
      </c>
      <c r="Z106" s="211"/>
      <c r="AA106" s="218" t="s">
        <v>1972</v>
      </c>
      <c r="AB106">
        <v>2</v>
      </c>
    </row>
    <row r="107" spans="1:28" ht="15.75" hidden="1" customHeight="1" thickBot="1">
      <c r="A107" s="209">
        <v>104</v>
      </c>
      <c r="B107" s="250" t="s">
        <v>5</v>
      </c>
      <c r="C107" s="290" t="s">
        <v>1931</v>
      </c>
      <c r="D107" s="290"/>
      <c r="E107" s="362" t="s">
        <v>21</v>
      </c>
      <c r="F107" s="290" t="s">
        <v>1969</v>
      </c>
      <c r="G107" s="363" t="s">
        <v>1970</v>
      </c>
      <c r="H107" s="290" t="s">
        <v>1967</v>
      </c>
      <c r="I107" s="362" t="s">
        <v>1973</v>
      </c>
      <c r="J107" s="252" t="s">
        <v>16</v>
      </c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6">
        <f>IF(W105=0,0,IF(W102=0,0,W105/W102))</f>
        <v>0</v>
      </c>
      <c r="X107" s="299">
        <f>SUM(K107:M107)</f>
        <v>0</v>
      </c>
      <c r="Y107" s="251" t="s">
        <v>1965</v>
      </c>
      <c r="Z107" s="234"/>
      <c r="AA107" s="235" t="s">
        <v>1972</v>
      </c>
      <c r="AB107">
        <v>2</v>
      </c>
    </row>
    <row r="108" spans="1:28" ht="15.75" hidden="1" customHeight="1">
      <c r="A108" s="193">
        <v>105</v>
      </c>
      <c r="B108" s="237" t="s">
        <v>5</v>
      </c>
      <c r="C108" s="284" t="s">
        <v>1948</v>
      </c>
      <c r="D108" s="284" t="s">
        <v>1974</v>
      </c>
      <c r="E108" s="336" t="s">
        <v>21</v>
      </c>
      <c r="F108" s="284" t="s">
        <v>1975</v>
      </c>
      <c r="G108" s="335" t="s">
        <v>1970</v>
      </c>
      <c r="H108" s="284" t="s">
        <v>1967</v>
      </c>
      <c r="I108" s="336"/>
      <c r="J108" s="364" t="s">
        <v>22</v>
      </c>
      <c r="K108" s="239">
        <v>7</v>
      </c>
      <c r="L108" s="239">
        <v>211</v>
      </c>
      <c r="M108" s="239">
        <v>188</v>
      </c>
      <c r="N108" s="239">
        <v>71</v>
      </c>
      <c r="O108" s="239">
        <v>-419</v>
      </c>
      <c r="P108" s="239">
        <v>-58</v>
      </c>
      <c r="Q108" s="239"/>
      <c r="R108" s="239"/>
      <c r="S108" s="239"/>
      <c r="T108" s="239"/>
      <c r="U108" s="239"/>
      <c r="V108" s="287"/>
      <c r="W108" s="338">
        <f>SUM(K108:V108)</f>
        <v>0</v>
      </c>
      <c r="X108" s="205">
        <f t="shared" ref="X108:X113" si="35">SUM(K108:P108)</f>
        <v>0</v>
      </c>
      <c r="Y108" s="196" t="s">
        <v>1965</v>
      </c>
      <c r="Z108" s="199"/>
      <c r="AA108" s="244" t="s">
        <v>1972</v>
      </c>
      <c r="AB108">
        <v>1</v>
      </c>
    </row>
    <row r="109" spans="1:28" ht="15.75" hidden="1" customHeight="1">
      <c r="A109" s="209">
        <v>106</v>
      </c>
      <c r="B109" s="210" t="s">
        <v>5</v>
      </c>
      <c r="C109" s="289" t="s">
        <v>1948</v>
      </c>
      <c r="D109" s="289" t="s">
        <v>1974</v>
      </c>
      <c r="E109" s="358" t="s">
        <v>21</v>
      </c>
      <c r="F109" s="289" t="s">
        <v>1975</v>
      </c>
      <c r="G109" s="342" t="s">
        <v>1970</v>
      </c>
      <c r="H109" s="289" t="s">
        <v>1967</v>
      </c>
      <c r="I109" s="358"/>
      <c r="J109" s="359" t="s">
        <v>10</v>
      </c>
      <c r="K109" s="214">
        <v>267</v>
      </c>
      <c r="L109" s="214">
        <v>2341</v>
      </c>
      <c r="M109" s="214">
        <v>2978</v>
      </c>
      <c r="N109" s="214">
        <v>-567</v>
      </c>
      <c r="O109" s="214">
        <v>-4303</v>
      </c>
      <c r="P109" s="214">
        <v>-716</v>
      </c>
      <c r="Q109" s="214"/>
      <c r="R109" s="214"/>
      <c r="S109" s="214"/>
      <c r="T109" s="214"/>
      <c r="U109" s="214"/>
      <c r="V109" s="226"/>
      <c r="W109" s="281">
        <f>SUM(K109:V109)</f>
        <v>0</v>
      </c>
      <c r="X109" s="205">
        <f t="shared" si="35"/>
        <v>0</v>
      </c>
      <c r="Y109" s="1" t="s">
        <v>1965</v>
      </c>
      <c r="Z109" s="211"/>
      <c r="AA109" s="218" t="s">
        <v>1972</v>
      </c>
      <c r="AB109">
        <v>1</v>
      </c>
    </row>
    <row r="110" spans="1:28" ht="15.75" hidden="1" customHeight="1">
      <c r="A110" s="209">
        <v>107</v>
      </c>
      <c r="B110" s="210" t="s">
        <v>5</v>
      </c>
      <c r="C110" s="289" t="s">
        <v>1948</v>
      </c>
      <c r="D110" s="289" t="s">
        <v>1974</v>
      </c>
      <c r="E110" s="358" t="s">
        <v>21</v>
      </c>
      <c r="F110" s="289" t="s">
        <v>1975</v>
      </c>
      <c r="G110" s="342" t="s">
        <v>1970</v>
      </c>
      <c r="H110" s="289" t="s">
        <v>1967</v>
      </c>
      <c r="I110" s="358"/>
      <c r="J110" s="359" t="s">
        <v>23</v>
      </c>
      <c r="K110" s="214">
        <v>84429.592827117012</v>
      </c>
      <c r="L110" s="214">
        <v>84429.592827117012</v>
      </c>
      <c r="M110" s="214">
        <v>84429.592827117012</v>
      </c>
      <c r="N110" s="214">
        <v>84429.592827117012</v>
      </c>
      <c r="O110" s="214">
        <v>84429.592827117012</v>
      </c>
      <c r="P110" s="214">
        <v>84429.592827117012</v>
      </c>
      <c r="Q110" s="214"/>
      <c r="R110" s="214"/>
      <c r="S110" s="214"/>
      <c r="T110" s="214"/>
      <c r="U110" s="214"/>
      <c r="V110" s="226"/>
      <c r="W110" s="281">
        <f>SUM(K110:V110)</f>
        <v>506577.55696270207</v>
      </c>
      <c r="X110" s="205">
        <f t="shared" si="35"/>
        <v>506577.55696270207</v>
      </c>
      <c r="Y110" s="1" t="s">
        <v>1965</v>
      </c>
      <c r="Z110" s="211"/>
      <c r="AA110" s="218" t="s">
        <v>1972</v>
      </c>
      <c r="AB110">
        <v>1</v>
      </c>
    </row>
    <row r="111" spans="1:28" ht="15.75" hidden="1" customHeight="1">
      <c r="A111" s="209">
        <v>108</v>
      </c>
      <c r="B111" s="210" t="s">
        <v>5</v>
      </c>
      <c r="C111" s="289" t="s">
        <v>1948</v>
      </c>
      <c r="D111" s="289" t="s">
        <v>1974</v>
      </c>
      <c r="E111" s="358" t="s">
        <v>21</v>
      </c>
      <c r="F111" s="289" t="s">
        <v>1975</v>
      </c>
      <c r="G111" s="342" t="s">
        <v>1970</v>
      </c>
      <c r="H111" s="289" t="s">
        <v>1967</v>
      </c>
      <c r="I111" s="358"/>
      <c r="J111" s="359" t="s">
        <v>24</v>
      </c>
      <c r="K111" s="214">
        <v>1827.8679029552636</v>
      </c>
      <c r="L111" s="214">
        <v>53008.169185702638</v>
      </c>
      <c r="M111" s="214">
        <v>47296.08198896746</v>
      </c>
      <c r="N111" s="214">
        <v>17821.712053813815</v>
      </c>
      <c r="O111" s="214">
        <v>-105330.88790779706</v>
      </c>
      <c r="P111" s="214">
        <v>-14622.943223642111</v>
      </c>
      <c r="Q111" s="214"/>
      <c r="R111" s="214"/>
      <c r="S111" s="214"/>
      <c r="T111" s="214"/>
      <c r="U111" s="214"/>
      <c r="V111" s="226"/>
      <c r="W111" s="282">
        <f>SUM(K111:V111)</f>
        <v>0</v>
      </c>
      <c r="X111" s="205">
        <f t="shared" si="35"/>
        <v>0</v>
      </c>
      <c r="Y111" s="1" t="s">
        <v>1965</v>
      </c>
      <c r="Z111" s="211"/>
      <c r="AA111" s="218" t="s">
        <v>1972</v>
      </c>
      <c r="AB111">
        <v>1</v>
      </c>
    </row>
    <row r="112" spans="1:28" ht="15.75" hidden="1" customHeight="1">
      <c r="A112" s="193">
        <v>109</v>
      </c>
      <c r="B112" s="210" t="s">
        <v>5</v>
      </c>
      <c r="C112" s="289" t="s">
        <v>1948</v>
      </c>
      <c r="D112" s="289" t="s">
        <v>1974</v>
      </c>
      <c r="E112" s="358" t="s">
        <v>21</v>
      </c>
      <c r="F112" s="289" t="s">
        <v>1975</v>
      </c>
      <c r="G112" s="342" t="s">
        <v>1970</v>
      </c>
      <c r="H112" s="289" t="s">
        <v>1967</v>
      </c>
      <c r="I112" s="358"/>
      <c r="J112" s="359" t="s">
        <v>14</v>
      </c>
      <c r="K112" s="214">
        <v>86257.460730072271</v>
      </c>
      <c r="L112" s="214">
        <v>137437.76201281964</v>
      </c>
      <c r="M112" s="214">
        <v>131725.67481608447</v>
      </c>
      <c r="N112" s="214">
        <v>102251.30488093082</v>
      </c>
      <c r="O112" s="214">
        <v>-20901.295080680051</v>
      </c>
      <c r="P112" s="214">
        <v>69806.6496034749</v>
      </c>
      <c r="Q112" s="214"/>
      <c r="R112" s="214"/>
      <c r="S112" s="214"/>
      <c r="T112" s="214"/>
      <c r="U112" s="214"/>
      <c r="V112" s="226"/>
      <c r="W112" s="282">
        <f>SUM(K112:V112)</f>
        <v>506577.55696270207</v>
      </c>
      <c r="X112" s="205">
        <f t="shared" si="35"/>
        <v>506577.55696270207</v>
      </c>
      <c r="Y112" s="1" t="s">
        <v>1965</v>
      </c>
      <c r="Z112" s="211"/>
      <c r="AA112" s="218" t="s">
        <v>1972</v>
      </c>
      <c r="AB112">
        <v>1</v>
      </c>
    </row>
    <row r="113" spans="1:28" ht="15.75" hidden="1" customHeight="1">
      <c r="A113" s="209">
        <v>110</v>
      </c>
      <c r="B113" s="210" t="s">
        <v>5</v>
      </c>
      <c r="C113" s="289" t="s">
        <v>1948</v>
      </c>
      <c r="D113" s="289" t="s">
        <v>1974</v>
      </c>
      <c r="E113" s="358" t="s">
        <v>21</v>
      </c>
      <c r="F113" s="289" t="s">
        <v>1975</v>
      </c>
      <c r="G113" s="342" t="s">
        <v>1970</v>
      </c>
      <c r="H113" s="289" t="s">
        <v>1967</v>
      </c>
      <c r="I113" s="358"/>
      <c r="J113" s="359" t="s">
        <v>25</v>
      </c>
      <c r="K113" s="9">
        <v>38.142857142857146</v>
      </c>
      <c r="L113" s="9">
        <v>11.09478672985782</v>
      </c>
      <c r="M113" s="9">
        <v>15.840425531914894</v>
      </c>
      <c r="N113" s="9">
        <v>-7.9859154929577461</v>
      </c>
      <c r="O113" s="9">
        <v>10.269689737470166</v>
      </c>
      <c r="P113" s="9">
        <v>12.344827586206897</v>
      </c>
      <c r="Q113" s="9"/>
      <c r="R113" s="9"/>
      <c r="S113" s="9"/>
      <c r="T113" s="9"/>
      <c r="U113" s="9"/>
      <c r="V113" s="360"/>
      <c r="W113" s="282">
        <f>IF(W109=0,0,IF(W108=0,0,W109/W108))</f>
        <v>0</v>
      </c>
      <c r="X113" s="365">
        <f t="shared" si="35"/>
        <v>79.706671235349177</v>
      </c>
      <c r="Y113" s="1" t="s">
        <v>1965</v>
      </c>
      <c r="Z113" s="211"/>
      <c r="AA113" s="218" t="s">
        <v>1972</v>
      </c>
      <c r="AB113">
        <v>2</v>
      </c>
    </row>
    <row r="114" spans="1:28" ht="15.75" hidden="1" customHeight="1" thickBot="1">
      <c r="A114" s="209">
        <v>111</v>
      </c>
      <c r="B114" s="250" t="s">
        <v>5</v>
      </c>
      <c r="C114" s="290" t="s">
        <v>1948</v>
      </c>
      <c r="D114" s="290" t="s">
        <v>1974</v>
      </c>
      <c r="E114" s="362" t="s">
        <v>21</v>
      </c>
      <c r="F114" s="290" t="s">
        <v>1975</v>
      </c>
      <c r="G114" s="363" t="s">
        <v>1970</v>
      </c>
      <c r="H114" s="290" t="s">
        <v>1967</v>
      </c>
      <c r="I114" s="362"/>
      <c r="J114" s="252" t="s">
        <v>16</v>
      </c>
      <c r="K114" s="253">
        <v>323.06165067442799</v>
      </c>
      <c r="L114" s="253">
        <v>58.708997015301001</v>
      </c>
      <c r="M114" s="253">
        <v>44.232933114870541</v>
      </c>
      <c r="N114" s="253">
        <v>-180.33739837906671</v>
      </c>
      <c r="O114" s="253">
        <v>4.8573774298582499</v>
      </c>
      <c r="P114" s="253">
        <v>-97.495320675244272</v>
      </c>
      <c r="Q114" s="253"/>
      <c r="R114" s="253"/>
      <c r="S114" s="253"/>
      <c r="T114" s="253"/>
      <c r="U114" s="253"/>
      <c r="V114" s="253"/>
      <c r="W114" s="256">
        <f>IF(W112=0,0,IF(W109=0,0,W112/W109))</f>
        <v>0</v>
      </c>
      <c r="X114" s="299">
        <f>IF(X112=0,0,IF(X109=0,0,X112/X109))</f>
        <v>0</v>
      </c>
      <c r="Y114" s="251" t="s">
        <v>1965</v>
      </c>
      <c r="Z114" s="234"/>
      <c r="AA114" s="235" t="s">
        <v>1972</v>
      </c>
      <c r="AB114">
        <v>2</v>
      </c>
    </row>
    <row r="115" spans="1:28" ht="15.75" hidden="1" customHeight="1">
      <c r="A115" s="209">
        <v>112</v>
      </c>
      <c r="B115" s="237" t="s">
        <v>5</v>
      </c>
      <c r="C115" s="284" t="s">
        <v>1931</v>
      </c>
      <c r="D115" s="284"/>
      <c r="E115" s="336" t="s">
        <v>21</v>
      </c>
      <c r="F115" s="284" t="s">
        <v>1969</v>
      </c>
      <c r="G115" s="335" t="s">
        <v>1970</v>
      </c>
      <c r="H115" s="284" t="s">
        <v>1964</v>
      </c>
      <c r="I115" s="336" t="s">
        <v>1971</v>
      </c>
      <c r="J115" s="364" t="s">
        <v>22</v>
      </c>
      <c r="K115" s="239">
        <v>679</v>
      </c>
      <c r="L115" s="239">
        <v>848</v>
      </c>
      <c r="M115" s="239">
        <v>1243</v>
      </c>
      <c r="N115" s="239">
        <v>1484</v>
      </c>
      <c r="O115" s="239">
        <v>932</v>
      </c>
      <c r="P115" s="239">
        <v>783</v>
      </c>
      <c r="Q115" s="239"/>
      <c r="R115" s="239"/>
      <c r="S115" s="239"/>
      <c r="T115" s="239"/>
      <c r="U115" s="239"/>
      <c r="V115" s="287"/>
      <c r="W115" s="338">
        <f>SUM(K115:V115)</f>
        <v>5969</v>
      </c>
      <c r="X115" s="205">
        <f t="shared" ref="X115:X120" si="36">SUM(K115:P115)</f>
        <v>5969</v>
      </c>
      <c r="Y115" s="196" t="s">
        <v>1965</v>
      </c>
      <c r="Z115" s="199"/>
      <c r="AA115" s="244" t="s">
        <v>1972</v>
      </c>
      <c r="AB115">
        <v>1</v>
      </c>
    </row>
    <row r="116" spans="1:28" ht="15.75" hidden="1" customHeight="1">
      <c r="A116" s="193">
        <v>113</v>
      </c>
      <c r="B116" s="210" t="s">
        <v>5</v>
      </c>
      <c r="C116" s="289" t="s">
        <v>1931</v>
      </c>
      <c r="D116" s="289"/>
      <c r="E116" s="358" t="s">
        <v>21</v>
      </c>
      <c r="F116" s="289" t="s">
        <v>1969</v>
      </c>
      <c r="G116" s="342" t="s">
        <v>1970</v>
      </c>
      <c r="H116" s="289" t="s">
        <v>1964</v>
      </c>
      <c r="I116" s="358" t="s">
        <v>1971</v>
      </c>
      <c r="J116" s="359" t="s">
        <v>10</v>
      </c>
      <c r="K116" s="214">
        <v>39705.10000000002</v>
      </c>
      <c r="L116" s="214">
        <v>36465.499999999993</v>
      </c>
      <c r="M116" s="214">
        <v>59608.30000000001</v>
      </c>
      <c r="N116" s="214">
        <v>69200.599999999991</v>
      </c>
      <c r="O116" s="214">
        <v>47697.800000000017</v>
      </c>
      <c r="P116" s="214">
        <v>41479</v>
      </c>
      <c r="Q116" s="214"/>
      <c r="R116" s="214"/>
      <c r="S116" s="214"/>
      <c r="T116" s="214"/>
      <c r="U116" s="214"/>
      <c r="V116" s="226"/>
      <c r="W116" s="281">
        <f>SUM(K116:V116)</f>
        <v>294156.30000000005</v>
      </c>
      <c r="X116" s="205">
        <f t="shared" si="36"/>
        <v>294156.30000000005</v>
      </c>
      <c r="Y116" s="1" t="s">
        <v>1965</v>
      </c>
      <c r="Z116" s="211"/>
      <c r="AA116" s="218" t="s">
        <v>1972</v>
      </c>
      <c r="AB116">
        <v>1</v>
      </c>
    </row>
    <row r="117" spans="1:28" ht="15.75" hidden="1" customHeight="1">
      <c r="A117" s="209">
        <v>114</v>
      </c>
      <c r="B117" s="210" t="s">
        <v>5</v>
      </c>
      <c r="C117" s="289" t="s">
        <v>1931</v>
      </c>
      <c r="D117" s="289"/>
      <c r="E117" s="358" t="s">
        <v>21</v>
      </c>
      <c r="F117" s="289" t="s">
        <v>1969</v>
      </c>
      <c r="G117" s="342" t="s">
        <v>1970</v>
      </c>
      <c r="H117" s="289" t="s">
        <v>1964</v>
      </c>
      <c r="I117" s="358" t="s">
        <v>1971</v>
      </c>
      <c r="J117" s="359" t="s">
        <v>23</v>
      </c>
      <c r="K117" s="366">
        <v>875821</v>
      </c>
      <c r="L117" s="366">
        <v>875821</v>
      </c>
      <c r="M117" s="366">
        <v>875821</v>
      </c>
      <c r="N117" s="214">
        <v>875821</v>
      </c>
      <c r="O117" s="214">
        <v>875821</v>
      </c>
      <c r="P117" s="214">
        <v>875821</v>
      </c>
      <c r="Q117" s="214"/>
      <c r="R117" s="214"/>
      <c r="S117" s="214"/>
      <c r="T117" s="214"/>
      <c r="U117" s="214"/>
      <c r="V117" s="226"/>
      <c r="W117" s="281">
        <f>SUM(K117:V117)</f>
        <v>5254926</v>
      </c>
      <c r="X117" s="205">
        <f t="shared" si="36"/>
        <v>5254926</v>
      </c>
      <c r="Y117" s="1" t="s">
        <v>1965</v>
      </c>
      <c r="Z117" s="211"/>
      <c r="AA117" s="218" t="s">
        <v>1972</v>
      </c>
      <c r="AB117">
        <v>1</v>
      </c>
    </row>
    <row r="118" spans="1:28" ht="15.75" hidden="1" customHeight="1">
      <c r="A118" s="209">
        <v>115</v>
      </c>
      <c r="B118" s="210" t="s">
        <v>5</v>
      </c>
      <c r="C118" s="289" t="s">
        <v>1931</v>
      </c>
      <c r="D118" s="289"/>
      <c r="E118" s="358" t="s">
        <v>21</v>
      </c>
      <c r="F118" s="289" t="s">
        <v>1969</v>
      </c>
      <c r="G118" s="342" t="s">
        <v>1970</v>
      </c>
      <c r="H118" s="289" t="s">
        <v>1964</v>
      </c>
      <c r="I118" s="358" t="s">
        <v>1971</v>
      </c>
      <c r="J118" s="359" t="s">
        <v>24</v>
      </c>
      <c r="K118" s="214">
        <v>113499.1695642539</v>
      </c>
      <c r="L118" s="214">
        <v>120988.14186003465</v>
      </c>
      <c r="M118" s="214">
        <v>185269.24133243691</v>
      </c>
      <c r="N118" s="214">
        <v>192524.59401135403</v>
      </c>
      <c r="O118" s="214">
        <v>264988.02037870791</v>
      </c>
      <c r="P118" s="214">
        <v>-104956.91837975662</v>
      </c>
      <c r="Q118" s="214"/>
      <c r="R118" s="214"/>
      <c r="S118" s="214"/>
      <c r="T118" s="214"/>
      <c r="U118" s="214"/>
      <c r="V118" s="226"/>
      <c r="W118" s="282">
        <f>SUM(K118:V118)</f>
        <v>772312.24876703077</v>
      </c>
      <c r="X118" s="205">
        <f t="shared" si="36"/>
        <v>772312.24876703077</v>
      </c>
      <c r="Y118" s="1" t="s">
        <v>1965</v>
      </c>
      <c r="Z118" s="211"/>
      <c r="AA118" s="218" t="s">
        <v>1972</v>
      </c>
      <c r="AB118">
        <v>1</v>
      </c>
    </row>
    <row r="119" spans="1:28" ht="15.75" hidden="1" customHeight="1">
      <c r="A119" s="209">
        <v>116</v>
      </c>
      <c r="B119" s="210" t="s">
        <v>5</v>
      </c>
      <c r="C119" s="289" t="s">
        <v>1931</v>
      </c>
      <c r="D119" s="289"/>
      <c r="E119" s="358" t="s">
        <v>21</v>
      </c>
      <c r="F119" s="289" t="s">
        <v>1969</v>
      </c>
      <c r="G119" s="342" t="s">
        <v>1970</v>
      </c>
      <c r="H119" s="289" t="s">
        <v>1964</v>
      </c>
      <c r="I119" s="358" t="s">
        <v>1971</v>
      </c>
      <c r="J119" s="359" t="s">
        <v>14</v>
      </c>
      <c r="K119" s="214">
        <v>989320.16956425388</v>
      </c>
      <c r="L119" s="214">
        <v>996809.14186003467</v>
      </c>
      <c r="M119" s="214">
        <v>1061090.2413324369</v>
      </c>
      <c r="N119" s="214">
        <v>1068345.594011354</v>
      </c>
      <c r="O119" s="9">
        <v>1140809.0203787079</v>
      </c>
      <c r="P119" s="9">
        <v>770864.08162024338</v>
      </c>
      <c r="Q119" s="9"/>
      <c r="R119" s="9"/>
      <c r="S119" s="9"/>
      <c r="T119" s="9"/>
      <c r="U119" s="9"/>
      <c r="V119" s="360"/>
      <c r="W119" s="282">
        <f>SUM(K119:V119)</f>
        <v>6027238.2487670304</v>
      </c>
      <c r="X119" s="205">
        <f t="shared" si="36"/>
        <v>6027238.2487670304</v>
      </c>
      <c r="Y119" s="1" t="s">
        <v>1965</v>
      </c>
      <c r="Z119" s="211"/>
      <c r="AA119" s="218" t="s">
        <v>1972</v>
      </c>
      <c r="AB119">
        <v>1</v>
      </c>
    </row>
    <row r="120" spans="1:28" ht="15.75" hidden="1" customHeight="1">
      <c r="A120" s="193">
        <v>117</v>
      </c>
      <c r="B120" s="210" t="s">
        <v>5</v>
      </c>
      <c r="C120" s="289" t="s">
        <v>1931</v>
      </c>
      <c r="D120" s="289"/>
      <c r="E120" s="358" t="s">
        <v>21</v>
      </c>
      <c r="F120" s="289" t="s">
        <v>1969</v>
      </c>
      <c r="G120" s="342" t="s">
        <v>1970</v>
      </c>
      <c r="H120" s="289" t="s">
        <v>1964</v>
      </c>
      <c r="I120" s="358" t="s">
        <v>1971</v>
      </c>
      <c r="J120" s="359" t="s">
        <v>25</v>
      </c>
      <c r="K120" s="214">
        <v>54.465390279823268</v>
      </c>
      <c r="L120" s="214">
        <v>44.321933962264154</v>
      </c>
      <c r="M120" s="214">
        <v>45.465004022526145</v>
      </c>
      <c r="N120" s="214">
        <v>49.797843665768191</v>
      </c>
      <c r="O120" s="9">
        <v>51.177038626609445</v>
      </c>
      <c r="P120" s="9">
        <v>52.974457215836523</v>
      </c>
      <c r="Q120" s="9"/>
      <c r="R120" s="9"/>
      <c r="S120" s="9"/>
      <c r="T120" s="9"/>
      <c r="U120" s="9"/>
      <c r="V120" s="360"/>
      <c r="W120" s="282">
        <f>IF(W116=0,0,IF(W115=0,0,W116/W115))</f>
        <v>49.280666778354842</v>
      </c>
      <c r="X120" s="365">
        <f t="shared" si="36"/>
        <v>298.20166777282776</v>
      </c>
      <c r="Y120" s="1" t="s">
        <v>1965</v>
      </c>
      <c r="Z120" s="211"/>
      <c r="AA120" s="218" t="s">
        <v>1972</v>
      </c>
      <c r="AB120">
        <v>2</v>
      </c>
    </row>
    <row r="121" spans="1:28" ht="15.75" hidden="1" customHeight="1" thickBot="1">
      <c r="A121" s="209">
        <v>118</v>
      </c>
      <c r="B121" s="250" t="s">
        <v>5</v>
      </c>
      <c r="C121" s="290" t="s">
        <v>1931</v>
      </c>
      <c r="D121" s="290"/>
      <c r="E121" s="362" t="s">
        <v>21</v>
      </c>
      <c r="F121" s="290" t="s">
        <v>1969</v>
      </c>
      <c r="G121" s="363" t="s">
        <v>1970</v>
      </c>
      <c r="H121" s="290" t="s">
        <v>1964</v>
      </c>
      <c r="I121" s="362" t="s">
        <v>1971</v>
      </c>
      <c r="J121" s="252" t="s">
        <v>16</v>
      </c>
      <c r="K121" s="253">
        <v>26.751397154406302</v>
      </c>
      <c r="L121" s="253">
        <v>26.521461802847803</v>
      </c>
      <c r="M121" s="253">
        <v>18.776038103311397</v>
      </c>
      <c r="N121" s="253">
        <v>14.456638619910068</v>
      </c>
      <c r="O121" s="253">
        <v>23.917835930534579</v>
      </c>
      <c r="P121" s="253">
        <v>18.584442286946246</v>
      </c>
      <c r="Q121" s="253"/>
      <c r="R121" s="253"/>
      <c r="S121" s="253"/>
      <c r="T121" s="253"/>
      <c r="U121" s="253"/>
      <c r="V121" s="253"/>
      <c r="W121" s="256">
        <f>IF(W119=0,0,IF(W116=0,0,W119/W116))</f>
        <v>20.489917260881477</v>
      </c>
      <c r="X121" s="299">
        <f>IF(X119=0,0,IF(X116=0,0,X119/X116))</f>
        <v>20.489917260881477</v>
      </c>
      <c r="Y121" s="251" t="s">
        <v>1965</v>
      </c>
      <c r="Z121" s="234"/>
      <c r="AA121" s="235" t="s">
        <v>1972</v>
      </c>
      <c r="AB121">
        <v>2</v>
      </c>
    </row>
    <row r="122" spans="1:28" ht="15.75" hidden="1" customHeight="1">
      <c r="A122" s="209">
        <v>119</v>
      </c>
      <c r="B122" s="237" t="s">
        <v>5</v>
      </c>
      <c r="C122" s="284" t="s">
        <v>1931</v>
      </c>
      <c r="D122" s="284"/>
      <c r="E122" s="336" t="s">
        <v>21</v>
      </c>
      <c r="F122" s="284" t="s">
        <v>1969</v>
      </c>
      <c r="G122" s="335" t="s">
        <v>1970</v>
      </c>
      <c r="H122" s="284" t="s">
        <v>1964</v>
      </c>
      <c r="I122" s="336" t="s">
        <v>1973</v>
      </c>
      <c r="J122" s="364" t="s">
        <v>22</v>
      </c>
      <c r="K122" s="239">
        <v>675</v>
      </c>
      <c r="L122" s="239">
        <v>1206</v>
      </c>
      <c r="M122" s="239">
        <v>1464</v>
      </c>
      <c r="N122" s="239">
        <v>1468</v>
      </c>
      <c r="O122" s="239">
        <v>672</v>
      </c>
      <c r="P122" s="239">
        <v>258</v>
      </c>
      <c r="Q122" s="239"/>
      <c r="R122" s="239"/>
      <c r="S122" s="239"/>
      <c r="T122" s="239"/>
      <c r="U122" s="239"/>
      <c r="V122" s="287"/>
      <c r="W122" s="338">
        <f>SUM(K122:V122)</f>
        <v>5743</v>
      </c>
      <c r="X122" s="205">
        <f t="shared" ref="X122:X127" si="37">SUM(K122:P122)</f>
        <v>5743</v>
      </c>
      <c r="Y122" s="196" t="s">
        <v>1965</v>
      </c>
      <c r="Z122" s="199"/>
      <c r="AA122" s="244" t="s">
        <v>1972</v>
      </c>
      <c r="AB122">
        <v>1</v>
      </c>
    </row>
    <row r="123" spans="1:28" ht="15.75" hidden="1" customHeight="1">
      <c r="A123" s="209">
        <v>120</v>
      </c>
      <c r="B123" s="210" t="s">
        <v>5</v>
      </c>
      <c r="C123" s="289" t="s">
        <v>1931</v>
      </c>
      <c r="D123" s="289"/>
      <c r="E123" s="358" t="s">
        <v>21</v>
      </c>
      <c r="F123" s="289" t="s">
        <v>1969</v>
      </c>
      <c r="G123" s="342" t="s">
        <v>1970</v>
      </c>
      <c r="H123" s="289" t="s">
        <v>1964</v>
      </c>
      <c r="I123" s="358" t="s">
        <v>1973</v>
      </c>
      <c r="J123" s="359" t="s">
        <v>10</v>
      </c>
      <c r="K123" s="214">
        <v>23870.700000000012</v>
      </c>
      <c r="L123" s="214">
        <v>31320.399999999998</v>
      </c>
      <c r="M123" s="214">
        <v>43091.199999999997</v>
      </c>
      <c r="N123" s="214">
        <v>40888.200000000004</v>
      </c>
      <c r="O123" s="214">
        <v>17350</v>
      </c>
      <c r="P123" s="214">
        <v>2030</v>
      </c>
      <c r="Q123" s="214"/>
      <c r="R123" s="214"/>
      <c r="S123" s="214"/>
      <c r="T123" s="214"/>
      <c r="U123" s="214"/>
      <c r="V123" s="226"/>
      <c r="W123" s="281">
        <f>SUM(K123:V123)</f>
        <v>158550.5</v>
      </c>
      <c r="X123" s="205">
        <f t="shared" si="37"/>
        <v>158550.5</v>
      </c>
      <c r="Y123" s="1" t="s">
        <v>1965</v>
      </c>
      <c r="Z123" s="211"/>
      <c r="AA123" s="218" t="s">
        <v>1972</v>
      </c>
      <c r="AB123">
        <v>1</v>
      </c>
    </row>
    <row r="124" spans="1:28" ht="15.75" hidden="1" customHeight="1">
      <c r="A124" s="193">
        <v>121</v>
      </c>
      <c r="B124" s="210" t="s">
        <v>5</v>
      </c>
      <c r="C124" s="289" t="s">
        <v>1931</v>
      </c>
      <c r="D124" s="289"/>
      <c r="E124" s="358" t="s">
        <v>21</v>
      </c>
      <c r="F124" s="289" t="s">
        <v>1969</v>
      </c>
      <c r="G124" s="342" t="s">
        <v>1970</v>
      </c>
      <c r="H124" s="289" t="s">
        <v>1964</v>
      </c>
      <c r="I124" s="358" t="s">
        <v>1973</v>
      </c>
      <c r="J124" s="359" t="s">
        <v>23</v>
      </c>
      <c r="K124" s="214">
        <v>1004548.2010276727</v>
      </c>
      <c r="L124" s="214">
        <v>1004548.2010276727</v>
      </c>
      <c r="M124" s="214">
        <v>1004548.2010276727</v>
      </c>
      <c r="N124" s="214">
        <v>1004548.2010276727</v>
      </c>
      <c r="O124" s="214">
        <v>1004548.2010276727</v>
      </c>
      <c r="P124" s="214">
        <v>1004548.2010276727</v>
      </c>
      <c r="Q124" s="214"/>
      <c r="R124" s="214"/>
      <c r="S124" s="214"/>
      <c r="T124" s="214"/>
      <c r="U124" s="214"/>
      <c r="V124" s="226"/>
      <c r="W124" s="281">
        <f>SUM(K124:V124)</f>
        <v>6027289.2061660364</v>
      </c>
      <c r="X124" s="205">
        <f t="shared" si="37"/>
        <v>6027289.2061660364</v>
      </c>
      <c r="Y124" s="1" t="s">
        <v>1965</v>
      </c>
      <c r="Z124" s="211"/>
      <c r="AA124" s="218" t="s">
        <v>1972</v>
      </c>
      <c r="AB124">
        <v>1</v>
      </c>
    </row>
    <row r="125" spans="1:28" ht="15.75" hidden="1" customHeight="1">
      <c r="A125" s="209">
        <v>122</v>
      </c>
      <c r="B125" s="210" t="s">
        <v>5</v>
      </c>
      <c r="C125" s="289" t="s">
        <v>1931</v>
      </c>
      <c r="D125" s="289"/>
      <c r="E125" s="358" t="s">
        <v>21</v>
      </c>
      <c r="F125" s="289" t="s">
        <v>1969</v>
      </c>
      <c r="G125" s="342" t="s">
        <v>1970</v>
      </c>
      <c r="H125" s="289" t="s">
        <v>1964</v>
      </c>
      <c r="I125" s="358" t="s">
        <v>1973</v>
      </c>
      <c r="J125" s="359" t="s">
        <v>24</v>
      </c>
      <c r="K125" s="214">
        <v>102335.92823619123</v>
      </c>
      <c r="L125" s="214">
        <v>182840.19178199506</v>
      </c>
      <c r="M125" s="214">
        <v>221955.25768560584</v>
      </c>
      <c r="N125" s="214">
        <v>222561.69281589444</v>
      </c>
      <c r="O125" s="214">
        <v>101881.10188847482</v>
      </c>
      <c r="P125" s="214">
        <v>39115.065903610826</v>
      </c>
      <c r="Q125" s="214"/>
      <c r="R125" s="214"/>
      <c r="S125" s="214"/>
      <c r="T125" s="214"/>
      <c r="U125" s="214"/>
      <c r="V125" s="226"/>
      <c r="W125" s="282">
        <f>SUM(K125:V125)</f>
        <v>870689.23831177212</v>
      </c>
      <c r="X125" s="205">
        <f t="shared" si="37"/>
        <v>870689.23831177212</v>
      </c>
      <c r="Y125" s="1" t="s">
        <v>1965</v>
      </c>
      <c r="Z125" s="211"/>
      <c r="AA125" s="218" t="s">
        <v>1972</v>
      </c>
      <c r="AB125">
        <v>1</v>
      </c>
    </row>
    <row r="126" spans="1:28" ht="15.75" hidden="1" customHeight="1">
      <c r="A126" s="209">
        <v>123</v>
      </c>
      <c r="B126" s="210" t="s">
        <v>5</v>
      </c>
      <c r="C126" s="289" t="s">
        <v>1931</v>
      </c>
      <c r="D126" s="289"/>
      <c r="E126" s="358" t="s">
        <v>21</v>
      </c>
      <c r="F126" s="289" t="s">
        <v>1969</v>
      </c>
      <c r="G126" s="342" t="s">
        <v>1970</v>
      </c>
      <c r="H126" s="289" t="s">
        <v>1964</v>
      </c>
      <c r="I126" s="358" t="s">
        <v>1973</v>
      </c>
      <c r="J126" s="359" t="s">
        <v>14</v>
      </c>
      <c r="K126" s="9">
        <v>1106884.1292638639</v>
      </c>
      <c r="L126" s="9">
        <v>1187388.3928096679</v>
      </c>
      <c r="M126" s="9">
        <v>1226503.4587132786</v>
      </c>
      <c r="N126" s="9">
        <v>1227109.8938435672</v>
      </c>
      <c r="O126" s="9">
        <v>1106429.3029161475</v>
      </c>
      <c r="P126" s="9">
        <v>1043663.2669312835</v>
      </c>
      <c r="Q126" s="9"/>
      <c r="R126" s="9"/>
      <c r="S126" s="9"/>
      <c r="T126" s="9"/>
      <c r="U126" s="9"/>
      <c r="V126" s="360"/>
      <c r="W126" s="282">
        <f>SUM(K126:V126)</f>
        <v>6897978.4444778087</v>
      </c>
      <c r="X126" s="205">
        <f t="shared" si="37"/>
        <v>6897978.4444778087</v>
      </c>
      <c r="Y126" s="1" t="s">
        <v>1965</v>
      </c>
      <c r="Z126" s="211"/>
      <c r="AA126" s="218" t="s">
        <v>1972</v>
      </c>
      <c r="AB126">
        <v>1</v>
      </c>
    </row>
    <row r="127" spans="1:28" ht="15.75" hidden="1" customHeight="1">
      <c r="A127" s="209">
        <v>124</v>
      </c>
      <c r="B127" s="210" t="s">
        <v>5</v>
      </c>
      <c r="C127" s="289" t="s">
        <v>1931</v>
      </c>
      <c r="D127" s="289"/>
      <c r="E127" s="358" t="s">
        <v>21</v>
      </c>
      <c r="F127" s="289" t="s">
        <v>1969</v>
      </c>
      <c r="G127" s="342" t="s">
        <v>1970</v>
      </c>
      <c r="H127" s="289" t="s">
        <v>1964</v>
      </c>
      <c r="I127" s="358" t="s">
        <v>1973</v>
      </c>
      <c r="J127" s="359" t="s">
        <v>25</v>
      </c>
      <c r="K127" s="9">
        <v>32.995555555555555</v>
      </c>
      <c r="L127" s="9">
        <v>27.642620232172472</v>
      </c>
      <c r="M127" s="9">
        <v>28.708333333333332</v>
      </c>
      <c r="N127" s="9">
        <v>27.883514986376021</v>
      </c>
      <c r="O127" s="9">
        <v>26.711309523809526</v>
      </c>
      <c r="P127" s="9">
        <v>7.8682170542635657</v>
      </c>
      <c r="Q127" s="9"/>
      <c r="R127" s="9"/>
      <c r="S127" s="9"/>
      <c r="T127" s="9"/>
      <c r="U127" s="9"/>
      <c r="V127" s="360"/>
      <c r="W127" s="282">
        <f>IF(W123=0,0,IF(W122=0,0,W123/W122))</f>
        <v>27.60760926345116</v>
      </c>
      <c r="X127" s="365">
        <f t="shared" si="37"/>
        <v>151.80955068551046</v>
      </c>
      <c r="Y127" s="1" t="s">
        <v>1965</v>
      </c>
      <c r="Z127" s="211"/>
      <c r="AA127" s="218" t="s">
        <v>1972</v>
      </c>
      <c r="AB127">
        <v>2</v>
      </c>
    </row>
    <row r="128" spans="1:28" ht="15.75" hidden="1" customHeight="1" thickBot="1">
      <c r="A128" s="193">
        <v>125</v>
      </c>
      <c r="B128" s="250" t="s">
        <v>5</v>
      </c>
      <c r="C128" s="290" t="s">
        <v>1931</v>
      </c>
      <c r="D128" s="290"/>
      <c r="E128" s="362" t="s">
        <v>21</v>
      </c>
      <c r="F128" s="290" t="s">
        <v>1969</v>
      </c>
      <c r="G128" s="363" t="s">
        <v>1970</v>
      </c>
      <c r="H128" s="290" t="s">
        <v>1964</v>
      </c>
      <c r="I128" s="362" t="s">
        <v>1973</v>
      </c>
      <c r="J128" s="252" t="s">
        <v>16</v>
      </c>
      <c r="K128" s="253">
        <v>49.698461263643317</v>
      </c>
      <c r="L128" s="253">
        <v>35.617733833568344</v>
      </c>
      <c r="M128" s="253">
        <v>29.182313609966421</v>
      </c>
      <c r="N128" s="253">
        <v>29.978498860175584</v>
      </c>
      <c r="O128" s="253">
        <v>61.639515482793733</v>
      </c>
      <c r="P128" s="253">
        <v>514.11983592674062</v>
      </c>
      <c r="Q128" s="253"/>
      <c r="R128" s="253"/>
      <c r="S128" s="253"/>
      <c r="T128" s="253"/>
      <c r="U128" s="253"/>
      <c r="V128" s="253"/>
      <c r="W128" s="256">
        <f>IF(W126=0,0,IF(W123=0,0,W126/W123))</f>
        <v>43.506507040203651</v>
      </c>
      <c r="X128" s="299">
        <f>IF(X126=0,0,IF(X123=0,0,X126/X123))</f>
        <v>43.506507040203651</v>
      </c>
      <c r="Y128" s="251" t="s">
        <v>1965</v>
      </c>
      <c r="Z128" s="234"/>
      <c r="AA128" s="235" t="s">
        <v>1972</v>
      </c>
      <c r="AB128">
        <v>2</v>
      </c>
    </row>
    <row r="129" spans="1:28" ht="15.75" hidden="1" customHeight="1">
      <c r="A129" s="209">
        <v>126</v>
      </c>
      <c r="B129" s="237" t="s">
        <v>5</v>
      </c>
      <c r="C129" s="284" t="s">
        <v>1943</v>
      </c>
      <c r="D129" s="284" t="s">
        <v>1943</v>
      </c>
      <c r="E129" s="336" t="s">
        <v>21</v>
      </c>
      <c r="F129" s="284" t="s">
        <v>1975</v>
      </c>
      <c r="G129" s="335" t="s">
        <v>1970</v>
      </c>
      <c r="H129" s="284" t="s">
        <v>1967</v>
      </c>
      <c r="I129" s="336"/>
      <c r="J129" s="364" t="s">
        <v>22</v>
      </c>
      <c r="K129" s="239">
        <v>232</v>
      </c>
      <c r="L129" s="239">
        <v>579</v>
      </c>
      <c r="M129" s="239">
        <v>42</v>
      </c>
      <c r="N129" s="239">
        <v>283</v>
      </c>
      <c r="O129" s="239">
        <v>241</v>
      </c>
      <c r="P129" s="239">
        <v>436</v>
      </c>
      <c r="Q129" s="239"/>
      <c r="R129" s="239"/>
      <c r="S129" s="239"/>
      <c r="T129" s="239"/>
      <c r="U129" s="239"/>
      <c r="V129" s="287"/>
      <c r="W129" s="338">
        <f>SUM(K129:V129)</f>
        <v>1813</v>
      </c>
      <c r="X129" s="205">
        <f t="shared" ref="X129:X134" si="38">SUM(K129:P129)</f>
        <v>1813</v>
      </c>
      <c r="Y129" s="198" t="s">
        <v>1965</v>
      </c>
      <c r="Z129" s="199"/>
      <c r="AA129" s="244" t="s">
        <v>1972</v>
      </c>
      <c r="AB129">
        <v>1</v>
      </c>
    </row>
    <row r="130" spans="1:28" ht="15.75" hidden="1" customHeight="1">
      <c r="A130" s="209">
        <v>127</v>
      </c>
      <c r="B130" s="210" t="s">
        <v>5</v>
      </c>
      <c r="C130" s="289" t="s">
        <v>1943</v>
      </c>
      <c r="D130" s="289" t="s">
        <v>1943</v>
      </c>
      <c r="E130" s="358" t="s">
        <v>21</v>
      </c>
      <c r="F130" s="289" t="s">
        <v>1975</v>
      </c>
      <c r="G130" s="342" t="s">
        <v>1970</v>
      </c>
      <c r="H130" s="289" t="s">
        <v>1967</v>
      </c>
      <c r="I130" s="358"/>
      <c r="J130" s="359" t="s">
        <v>10</v>
      </c>
      <c r="K130" s="214">
        <v>7836</v>
      </c>
      <c r="L130" s="214">
        <v>27246</v>
      </c>
      <c r="M130" s="214">
        <v>-555</v>
      </c>
      <c r="N130" s="214">
        <v>9079</v>
      </c>
      <c r="O130" s="214">
        <v>8056</v>
      </c>
      <c r="P130" s="214">
        <v>15215</v>
      </c>
      <c r="Q130" s="214"/>
      <c r="R130" s="214"/>
      <c r="S130" s="214"/>
      <c r="T130" s="214"/>
      <c r="U130" s="214"/>
      <c r="V130" s="226"/>
      <c r="W130" s="281">
        <f>SUM(K130:V130)</f>
        <v>66877</v>
      </c>
      <c r="X130" s="205">
        <f t="shared" si="38"/>
        <v>66877</v>
      </c>
      <c r="Y130" s="212" t="s">
        <v>1965</v>
      </c>
      <c r="Z130" s="211"/>
      <c r="AA130" s="218" t="s">
        <v>1972</v>
      </c>
      <c r="AB130">
        <v>1</v>
      </c>
    </row>
    <row r="131" spans="1:28" ht="15.75" hidden="1" customHeight="1">
      <c r="A131" s="209">
        <v>128</v>
      </c>
      <c r="B131" s="210" t="s">
        <v>5</v>
      </c>
      <c r="C131" s="289" t="s">
        <v>1943</v>
      </c>
      <c r="D131" s="289" t="s">
        <v>1943</v>
      </c>
      <c r="E131" s="358" t="s">
        <v>21</v>
      </c>
      <c r="F131" s="289" t="s">
        <v>1975</v>
      </c>
      <c r="G131" s="342" t="s">
        <v>1970</v>
      </c>
      <c r="H131" s="289" t="s">
        <v>1967</v>
      </c>
      <c r="I131" s="358"/>
      <c r="J131" s="359" t="s">
        <v>23</v>
      </c>
      <c r="K131" s="214">
        <v>317656.49390302965</v>
      </c>
      <c r="L131" s="214">
        <v>317656.49390302965</v>
      </c>
      <c r="M131" s="214">
        <v>317656.49390302965</v>
      </c>
      <c r="N131" s="214">
        <v>317656.49390302965</v>
      </c>
      <c r="O131" s="214">
        <v>317656.49390302965</v>
      </c>
      <c r="P131" s="214">
        <v>317656.49390302965</v>
      </c>
      <c r="Q131" s="214"/>
      <c r="R131" s="214"/>
      <c r="S131" s="214"/>
      <c r="T131" s="214"/>
      <c r="U131" s="214"/>
      <c r="V131" s="226"/>
      <c r="W131" s="281">
        <f>SUM(K131:V131)</f>
        <v>1905938.963418178</v>
      </c>
      <c r="X131" s="205">
        <f t="shared" si="38"/>
        <v>1905938.963418178</v>
      </c>
      <c r="Y131" s="212" t="s">
        <v>1965</v>
      </c>
      <c r="Z131" s="211"/>
      <c r="AA131" s="218" t="s">
        <v>1972</v>
      </c>
      <c r="AB131">
        <v>1</v>
      </c>
    </row>
    <row r="132" spans="1:28" ht="15.75" hidden="1" customHeight="1">
      <c r="A132" s="193">
        <v>129</v>
      </c>
      <c r="B132" s="210" t="s">
        <v>5</v>
      </c>
      <c r="C132" s="289" t="s">
        <v>1943</v>
      </c>
      <c r="D132" s="289" t="s">
        <v>1943</v>
      </c>
      <c r="E132" s="358" t="s">
        <v>21</v>
      </c>
      <c r="F132" s="289" t="s">
        <v>1975</v>
      </c>
      <c r="G132" s="342" t="s">
        <v>1970</v>
      </c>
      <c r="H132" s="289" t="s">
        <v>1967</v>
      </c>
      <c r="I132" s="358"/>
      <c r="J132" s="359" t="s">
        <v>24</v>
      </c>
      <c r="K132" s="214">
        <v>58491.772894568436</v>
      </c>
      <c r="L132" s="214">
        <v>145429.74002887815</v>
      </c>
      <c r="M132" s="214">
        <v>10510.240441992777</v>
      </c>
      <c r="N132" s="214">
        <v>71172.606471320629</v>
      </c>
      <c r="O132" s="214">
        <v>60548.12428539306</v>
      </c>
      <c r="P132" s="214">
        <v>109672.07417731582</v>
      </c>
      <c r="Q132" s="214"/>
      <c r="R132" s="214"/>
      <c r="S132" s="214"/>
      <c r="T132" s="214"/>
      <c r="U132" s="214"/>
      <c r="V132" s="226"/>
      <c r="W132" s="282">
        <f>SUM(K132:V132)</f>
        <v>455824.55829946883</v>
      </c>
      <c r="X132" s="205">
        <f t="shared" si="38"/>
        <v>455824.55829946883</v>
      </c>
      <c r="Y132" s="212" t="s">
        <v>1965</v>
      </c>
      <c r="Z132" s="211"/>
      <c r="AA132" s="218" t="s">
        <v>1972</v>
      </c>
      <c r="AB132">
        <v>1</v>
      </c>
    </row>
    <row r="133" spans="1:28" ht="15.75" hidden="1" customHeight="1">
      <c r="A133" s="209">
        <v>130</v>
      </c>
      <c r="B133" s="210" t="s">
        <v>5</v>
      </c>
      <c r="C133" s="289" t="s">
        <v>1943</v>
      </c>
      <c r="D133" s="289" t="s">
        <v>1943</v>
      </c>
      <c r="E133" s="358" t="s">
        <v>21</v>
      </c>
      <c r="F133" s="289" t="s">
        <v>1975</v>
      </c>
      <c r="G133" s="342" t="s">
        <v>1970</v>
      </c>
      <c r="H133" s="289" t="s">
        <v>1967</v>
      </c>
      <c r="I133" s="358"/>
      <c r="J133" s="359" t="s">
        <v>14</v>
      </c>
      <c r="K133" s="214">
        <v>376148.2667975981</v>
      </c>
      <c r="L133" s="214">
        <v>463086.2339319078</v>
      </c>
      <c r="M133" s="214">
        <v>328166.73434502241</v>
      </c>
      <c r="N133" s="214">
        <v>388829.10037435027</v>
      </c>
      <c r="O133" s="9">
        <v>378204.6181884227</v>
      </c>
      <c r="P133" s="9">
        <v>427328.56808034546</v>
      </c>
      <c r="Q133" s="9"/>
      <c r="R133" s="9"/>
      <c r="S133" s="9"/>
      <c r="T133" s="9"/>
      <c r="U133" s="9"/>
      <c r="V133" s="360"/>
      <c r="W133" s="282">
        <f>SUM(K133:V133)</f>
        <v>2361763.5217176466</v>
      </c>
      <c r="X133" s="205">
        <f t="shared" si="38"/>
        <v>2361763.5217176466</v>
      </c>
      <c r="Y133" s="212" t="s">
        <v>1965</v>
      </c>
      <c r="Z133" s="211"/>
      <c r="AA133" s="218" t="s">
        <v>1972</v>
      </c>
      <c r="AB133">
        <v>1</v>
      </c>
    </row>
    <row r="134" spans="1:28" ht="15.75" hidden="1" customHeight="1">
      <c r="A134" s="209">
        <v>131</v>
      </c>
      <c r="B134" s="210" t="s">
        <v>5</v>
      </c>
      <c r="C134" s="289" t="s">
        <v>1943</v>
      </c>
      <c r="D134" s="289" t="s">
        <v>1943</v>
      </c>
      <c r="E134" s="358" t="s">
        <v>21</v>
      </c>
      <c r="F134" s="289" t="s">
        <v>1975</v>
      </c>
      <c r="G134" s="342" t="s">
        <v>1970</v>
      </c>
      <c r="H134" s="289" t="s">
        <v>1967</v>
      </c>
      <c r="I134" s="358"/>
      <c r="J134" s="359" t="s">
        <v>25</v>
      </c>
      <c r="K134" s="214">
        <v>33.775862068965516</v>
      </c>
      <c r="L134" s="214">
        <v>47.056994818652846</v>
      </c>
      <c r="M134" s="214">
        <v>-13.214285714285714</v>
      </c>
      <c r="N134" s="214">
        <v>32.081272084805654</v>
      </c>
      <c r="O134" s="9">
        <v>33.427385892116185</v>
      </c>
      <c r="P134" s="9">
        <v>34.896788990825691</v>
      </c>
      <c r="Q134" s="9"/>
      <c r="R134" s="9"/>
      <c r="S134" s="9"/>
      <c r="T134" s="9"/>
      <c r="U134" s="9"/>
      <c r="V134" s="360"/>
      <c r="W134" s="282">
        <f>IF(W130=0,0,IF(W129=0,0,W130/W129))</f>
        <v>36.887479316050744</v>
      </c>
      <c r="X134" s="365">
        <f t="shared" si="38"/>
        <v>168.02401814108018</v>
      </c>
      <c r="Y134" s="212" t="s">
        <v>1965</v>
      </c>
      <c r="Z134" s="211"/>
      <c r="AA134" s="218" t="s">
        <v>1972</v>
      </c>
      <c r="AB134">
        <v>2</v>
      </c>
    </row>
    <row r="135" spans="1:28" ht="15.75" hidden="1" customHeight="1" thickBot="1">
      <c r="A135" s="209">
        <v>132</v>
      </c>
      <c r="B135" s="250" t="s">
        <v>5</v>
      </c>
      <c r="C135" s="290" t="s">
        <v>1943</v>
      </c>
      <c r="D135" s="290" t="s">
        <v>1943</v>
      </c>
      <c r="E135" s="362" t="s">
        <v>21</v>
      </c>
      <c r="F135" s="290" t="s">
        <v>1975</v>
      </c>
      <c r="G135" s="363" t="s">
        <v>1970</v>
      </c>
      <c r="H135" s="290" t="s">
        <v>1967</v>
      </c>
      <c r="I135" s="362"/>
      <c r="J135" s="252" t="s">
        <v>16</v>
      </c>
      <c r="K135" s="253">
        <v>48.002586370290722</v>
      </c>
      <c r="L135" s="253">
        <v>16.996485132933561</v>
      </c>
      <c r="M135" s="253">
        <v>-591.29141323427461</v>
      </c>
      <c r="N135" s="253">
        <v>42.827304810480257</v>
      </c>
      <c r="O135" s="253">
        <v>46.946948633120989</v>
      </c>
      <c r="P135" s="253">
        <v>28.086005131800555</v>
      </c>
      <c r="Q135" s="253"/>
      <c r="R135" s="253"/>
      <c r="S135" s="253"/>
      <c r="T135" s="253"/>
      <c r="U135" s="253"/>
      <c r="V135" s="253"/>
      <c r="W135" s="256">
        <f>IF(W133=0,0,IF(W130=0,0,W133/W130))</f>
        <v>35.315033893829664</v>
      </c>
      <c r="X135" s="299">
        <f>IF(X133=0,0,IF(X130=0,0,X133/X130))</f>
        <v>35.315033893829664</v>
      </c>
      <c r="Y135" s="266" t="s">
        <v>1965</v>
      </c>
      <c r="Z135" s="234"/>
      <c r="AA135" s="235" t="s">
        <v>1972</v>
      </c>
      <c r="AB135">
        <v>2</v>
      </c>
    </row>
    <row r="136" spans="1:28" ht="15.75" hidden="1" customHeight="1">
      <c r="A136" s="193">
        <v>133</v>
      </c>
      <c r="B136" s="237" t="s">
        <v>5</v>
      </c>
      <c r="C136" s="284" t="s">
        <v>1943</v>
      </c>
      <c r="D136" s="284" t="s">
        <v>1943</v>
      </c>
      <c r="E136" s="336" t="s">
        <v>21</v>
      </c>
      <c r="F136" s="284" t="s">
        <v>1975</v>
      </c>
      <c r="G136" s="335" t="s">
        <v>1970</v>
      </c>
      <c r="H136" s="284" t="s">
        <v>1964</v>
      </c>
      <c r="I136" s="336"/>
      <c r="J136" s="364" t="s">
        <v>22</v>
      </c>
      <c r="K136" s="239">
        <v>60</v>
      </c>
      <c r="L136" s="239">
        <v>120</v>
      </c>
      <c r="M136" s="239">
        <v>109</v>
      </c>
      <c r="N136" s="239">
        <v>83</v>
      </c>
      <c r="O136" s="239">
        <v>66</v>
      </c>
      <c r="P136" s="239">
        <v>72</v>
      </c>
      <c r="Q136" s="239"/>
      <c r="R136" s="239"/>
      <c r="S136" s="239"/>
      <c r="T136" s="239"/>
      <c r="U136" s="239"/>
      <c r="V136" s="287"/>
      <c r="W136" s="338">
        <f>SUM(K136:V136)</f>
        <v>510</v>
      </c>
      <c r="X136" s="205">
        <f t="shared" ref="X136:X141" si="39">SUM(K136:P136)</f>
        <v>510</v>
      </c>
      <c r="Y136" s="198" t="s">
        <v>1965</v>
      </c>
      <c r="Z136" s="199"/>
      <c r="AA136" s="244" t="s">
        <v>1972</v>
      </c>
      <c r="AB136">
        <v>1</v>
      </c>
    </row>
    <row r="137" spans="1:28" ht="15.75" hidden="1" customHeight="1">
      <c r="A137" s="209">
        <v>134</v>
      </c>
      <c r="B137" s="210" t="s">
        <v>5</v>
      </c>
      <c r="C137" s="289" t="s">
        <v>1943</v>
      </c>
      <c r="D137" s="289" t="s">
        <v>1943</v>
      </c>
      <c r="E137" s="358" t="s">
        <v>21</v>
      </c>
      <c r="F137" s="289" t="s">
        <v>1975</v>
      </c>
      <c r="G137" s="342" t="s">
        <v>1970</v>
      </c>
      <c r="H137" s="289" t="s">
        <v>1964</v>
      </c>
      <c r="I137" s="358"/>
      <c r="J137" s="359" t="s">
        <v>10</v>
      </c>
      <c r="K137" s="214">
        <v>1042</v>
      </c>
      <c r="L137" s="214">
        <v>1641</v>
      </c>
      <c r="M137" s="214">
        <v>1483</v>
      </c>
      <c r="N137" s="214">
        <v>927</v>
      </c>
      <c r="O137" s="214">
        <v>766</v>
      </c>
      <c r="P137" s="214">
        <v>761</v>
      </c>
      <c r="Q137" s="214"/>
      <c r="R137" s="214"/>
      <c r="S137" s="214"/>
      <c r="T137" s="214"/>
      <c r="U137" s="214"/>
      <c r="V137" s="226"/>
      <c r="W137" s="281">
        <f>SUM(K137:V137)</f>
        <v>6620</v>
      </c>
      <c r="X137" s="205">
        <f t="shared" si="39"/>
        <v>6620</v>
      </c>
      <c r="Y137" s="212" t="s">
        <v>1965</v>
      </c>
      <c r="Z137" s="211"/>
      <c r="AA137" s="218" t="s">
        <v>1972</v>
      </c>
      <c r="AB137">
        <v>1</v>
      </c>
    </row>
    <row r="138" spans="1:28" ht="15.75" hidden="1" customHeight="1">
      <c r="A138" s="209">
        <v>135</v>
      </c>
      <c r="B138" s="210" t="s">
        <v>5</v>
      </c>
      <c r="C138" s="289" t="s">
        <v>1943</v>
      </c>
      <c r="D138" s="289" t="s">
        <v>1943</v>
      </c>
      <c r="E138" s="358" t="s">
        <v>21</v>
      </c>
      <c r="F138" s="289" t="s">
        <v>1975</v>
      </c>
      <c r="G138" s="342" t="s">
        <v>1970</v>
      </c>
      <c r="H138" s="289" t="s">
        <v>1964</v>
      </c>
      <c r="I138" s="358"/>
      <c r="J138" s="359" t="s">
        <v>23</v>
      </c>
      <c r="K138" s="214">
        <v>94187.786972964706</v>
      </c>
      <c r="L138" s="214">
        <v>94187.786972964706</v>
      </c>
      <c r="M138" s="214">
        <v>94187.786972964706</v>
      </c>
      <c r="N138" s="214">
        <v>94187.786972964706</v>
      </c>
      <c r="O138" s="214">
        <v>94187.786972964706</v>
      </c>
      <c r="P138" s="214">
        <v>94187.786972964706</v>
      </c>
      <c r="Q138" s="214"/>
      <c r="R138" s="214"/>
      <c r="S138" s="214"/>
      <c r="T138" s="214"/>
      <c r="U138" s="214"/>
      <c r="V138" s="226"/>
      <c r="W138" s="281">
        <f>SUM(K138:V138)</f>
        <v>565126.72183778824</v>
      </c>
      <c r="X138" s="205">
        <f t="shared" si="39"/>
        <v>565126.72183778824</v>
      </c>
      <c r="Y138" s="212" t="s">
        <v>1965</v>
      </c>
      <c r="Z138" s="211"/>
      <c r="AA138" s="218" t="s">
        <v>1972</v>
      </c>
      <c r="AB138">
        <v>1</v>
      </c>
    </row>
    <row r="139" spans="1:28" ht="15.75" hidden="1" customHeight="1">
      <c r="A139" s="209">
        <v>136</v>
      </c>
      <c r="B139" s="210" t="s">
        <v>5</v>
      </c>
      <c r="C139" s="289" t="s">
        <v>1943</v>
      </c>
      <c r="D139" s="289" t="s">
        <v>1943</v>
      </c>
      <c r="E139" s="358" t="s">
        <v>21</v>
      </c>
      <c r="F139" s="289" t="s">
        <v>1975</v>
      </c>
      <c r="G139" s="342" t="s">
        <v>1970</v>
      </c>
      <c r="H139" s="289" t="s">
        <v>1964</v>
      </c>
      <c r="I139" s="358"/>
      <c r="J139" s="359" t="s">
        <v>24</v>
      </c>
      <c r="K139" s="214">
        <v>15079.910199380924</v>
      </c>
      <c r="L139" s="214">
        <v>30159.820398761854</v>
      </c>
      <c r="M139" s="214">
        <v>27418.018544328952</v>
      </c>
      <c r="N139" s="214">
        <v>20906.23914005082</v>
      </c>
      <c r="O139" s="214">
        <v>16565.052870532076</v>
      </c>
      <c r="P139" s="214">
        <v>18050.195541683235</v>
      </c>
      <c r="Q139" s="214"/>
      <c r="R139" s="214"/>
      <c r="S139" s="214"/>
      <c r="T139" s="214"/>
      <c r="U139" s="214"/>
      <c r="V139" s="226"/>
      <c r="W139" s="282">
        <f>SUM(K139:V139)</f>
        <v>128179.23669473786</v>
      </c>
      <c r="X139" s="205">
        <f t="shared" si="39"/>
        <v>128179.23669473786</v>
      </c>
      <c r="Y139" s="212" t="s">
        <v>1965</v>
      </c>
      <c r="Z139" s="211"/>
      <c r="AA139" s="218" t="s">
        <v>1972</v>
      </c>
      <c r="AB139">
        <v>1</v>
      </c>
    </row>
    <row r="140" spans="1:28" ht="15.75" hidden="1" customHeight="1">
      <c r="A140" s="193">
        <v>137</v>
      </c>
      <c r="B140" s="210" t="s">
        <v>5</v>
      </c>
      <c r="C140" s="289" t="s">
        <v>1943</v>
      </c>
      <c r="D140" s="289" t="s">
        <v>1943</v>
      </c>
      <c r="E140" s="358" t="s">
        <v>21</v>
      </c>
      <c r="F140" s="289" t="s">
        <v>1975</v>
      </c>
      <c r="G140" s="342" t="s">
        <v>1970</v>
      </c>
      <c r="H140" s="289" t="s">
        <v>1964</v>
      </c>
      <c r="I140" s="358"/>
      <c r="J140" s="359" t="s">
        <v>14</v>
      </c>
      <c r="K140" s="214">
        <v>109267.69717234562</v>
      </c>
      <c r="L140" s="214">
        <v>124347.60737172657</v>
      </c>
      <c r="M140" s="214">
        <v>121605.80551729366</v>
      </c>
      <c r="N140" s="214">
        <v>115094.02611301553</v>
      </c>
      <c r="O140" s="9">
        <v>110752.83984349678</v>
      </c>
      <c r="P140" s="9">
        <v>112237.98251464794</v>
      </c>
      <c r="Q140" s="9"/>
      <c r="R140" s="9"/>
      <c r="S140" s="9"/>
      <c r="T140" s="9"/>
      <c r="U140" s="9"/>
      <c r="V140" s="360"/>
      <c r="W140" s="282">
        <f>SUM(K140:V140)</f>
        <v>693305.95853252616</v>
      </c>
      <c r="X140" s="205">
        <f t="shared" si="39"/>
        <v>693305.95853252616</v>
      </c>
      <c r="Y140" s="212" t="s">
        <v>1965</v>
      </c>
      <c r="Z140" s="211"/>
      <c r="AA140" s="218" t="s">
        <v>1972</v>
      </c>
      <c r="AB140">
        <v>1</v>
      </c>
    </row>
    <row r="141" spans="1:28" ht="15.75" hidden="1" customHeight="1">
      <c r="A141" s="209">
        <v>138</v>
      </c>
      <c r="B141" s="210" t="s">
        <v>5</v>
      </c>
      <c r="C141" s="289" t="s">
        <v>1943</v>
      </c>
      <c r="D141" s="289" t="s">
        <v>1943</v>
      </c>
      <c r="E141" s="358" t="s">
        <v>21</v>
      </c>
      <c r="F141" s="289" t="s">
        <v>1975</v>
      </c>
      <c r="G141" s="342" t="s">
        <v>1970</v>
      </c>
      <c r="H141" s="289" t="s">
        <v>1964</v>
      </c>
      <c r="I141" s="358"/>
      <c r="J141" s="359" t="s">
        <v>25</v>
      </c>
      <c r="K141" s="214">
        <v>17.366666666666667</v>
      </c>
      <c r="L141" s="214">
        <v>13.675000000000001</v>
      </c>
      <c r="M141" s="214">
        <v>13.605504587155963</v>
      </c>
      <c r="N141" s="214">
        <v>11.168674698795181</v>
      </c>
      <c r="O141" s="9">
        <v>11.606060606060606</v>
      </c>
      <c r="P141" s="9">
        <v>10.569444444444445</v>
      </c>
      <c r="Q141" s="9"/>
      <c r="R141" s="9"/>
      <c r="S141" s="9"/>
      <c r="T141" s="9"/>
      <c r="U141" s="9"/>
      <c r="V141" s="360"/>
      <c r="W141" s="282">
        <f>IF(W137=0,0,IF(W136=0,0,W137/W136))</f>
        <v>12.980392156862745</v>
      </c>
      <c r="X141" s="365">
        <f t="shared" si="39"/>
        <v>77.991351003122858</v>
      </c>
      <c r="Y141" s="212" t="s">
        <v>1965</v>
      </c>
      <c r="Z141" s="211"/>
      <c r="AA141" s="218" t="s">
        <v>1972</v>
      </c>
      <c r="AB141">
        <v>2</v>
      </c>
    </row>
    <row r="142" spans="1:28" ht="15.75" hidden="1" customHeight="1" thickBot="1">
      <c r="A142" s="209">
        <v>139</v>
      </c>
      <c r="B142" s="250" t="s">
        <v>5</v>
      </c>
      <c r="C142" s="290" t="s">
        <v>1943</v>
      </c>
      <c r="D142" s="290" t="s">
        <v>1943</v>
      </c>
      <c r="E142" s="362" t="s">
        <v>21</v>
      </c>
      <c r="F142" s="290" t="s">
        <v>1975</v>
      </c>
      <c r="G142" s="363" t="s">
        <v>1970</v>
      </c>
      <c r="H142" s="290" t="s">
        <v>1964</v>
      </c>
      <c r="I142" s="362"/>
      <c r="J142" s="252" t="s">
        <v>16</v>
      </c>
      <c r="K142" s="253">
        <v>104.86343298689599</v>
      </c>
      <c r="L142" s="253">
        <v>75.775507234446422</v>
      </c>
      <c r="M142" s="253">
        <v>81.99986885859316</v>
      </c>
      <c r="N142" s="253">
        <v>124.15752547250865</v>
      </c>
      <c r="O142" s="253">
        <v>144.58595279829868</v>
      </c>
      <c r="P142" s="253">
        <v>147.48749344894605</v>
      </c>
      <c r="Q142" s="253"/>
      <c r="R142" s="253"/>
      <c r="S142" s="253"/>
      <c r="T142" s="253"/>
      <c r="U142" s="253"/>
      <c r="V142" s="253"/>
      <c r="W142" s="256">
        <f>IF(W140=0,0,IF(W137=0,0,W140/W137))</f>
        <v>104.72899675717917</v>
      </c>
      <c r="X142" s="299">
        <f>IF(X140=0,0,IF(X137=0,0,X140/X137))</f>
        <v>104.72899675717917</v>
      </c>
      <c r="Y142" s="266" t="s">
        <v>1965</v>
      </c>
      <c r="Z142" s="234"/>
      <c r="AA142" s="235" t="s">
        <v>1972</v>
      </c>
      <c r="AB142">
        <v>2</v>
      </c>
    </row>
    <row r="143" spans="1:28" ht="15.75" hidden="1" customHeight="1">
      <c r="A143" s="209">
        <v>140</v>
      </c>
      <c r="B143" s="237" t="s">
        <v>5</v>
      </c>
      <c r="C143" s="284" t="s">
        <v>1943</v>
      </c>
      <c r="D143" s="284" t="s">
        <v>1976</v>
      </c>
      <c r="E143" s="336" t="s">
        <v>21</v>
      </c>
      <c r="F143" s="284" t="s">
        <v>1975</v>
      </c>
      <c r="G143" s="335" t="s">
        <v>1970</v>
      </c>
      <c r="H143" s="284" t="s">
        <v>1964</v>
      </c>
      <c r="I143" s="336"/>
      <c r="J143" s="364" t="s">
        <v>22</v>
      </c>
      <c r="K143" s="239">
        <v>364</v>
      </c>
      <c r="L143" s="239">
        <v>453</v>
      </c>
      <c r="M143" s="239">
        <v>1409</v>
      </c>
      <c r="N143" s="239">
        <v>972</v>
      </c>
      <c r="O143" s="239">
        <v>-1285</v>
      </c>
      <c r="P143" s="239">
        <v>-433</v>
      </c>
      <c r="Q143" s="239"/>
      <c r="R143" s="239"/>
      <c r="S143" s="239"/>
      <c r="T143" s="239"/>
      <c r="U143" s="239"/>
      <c r="V143" s="287"/>
      <c r="W143" s="338">
        <f>SUM(K143:V143)</f>
        <v>1480</v>
      </c>
      <c r="X143" s="205">
        <f t="shared" ref="X143:X148" si="40">SUM(K143:P143)</f>
        <v>1480</v>
      </c>
      <c r="Y143" s="198" t="s">
        <v>1965</v>
      </c>
      <c r="Z143" s="199"/>
      <c r="AA143" s="244" t="s">
        <v>1972</v>
      </c>
      <c r="AB143">
        <v>1</v>
      </c>
    </row>
    <row r="144" spans="1:28" ht="15.75" hidden="1" customHeight="1">
      <c r="A144" s="193">
        <v>141</v>
      </c>
      <c r="B144" s="210" t="s">
        <v>5</v>
      </c>
      <c r="C144" s="289" t="s">
        <v>1943</v>
      </c>
      <c r="D144" s="289" t="s">
        <v>1976</v>
      </c>
      <c r="E144" s="358" t="s">
        <v>21</v>
      </c>
      <c r="F144" s="289" t="s">
        <v>1975</v>
      </c>
      <c r="G144" s="342" t="s">
        <v>1970</v>
      </c>
      <c r="H144" s="289" t="s">
        <v>1964</v>
      </c>
      <c r="I144" s="358"/>
      <c r="J144" s="359" t="s">
        <v>10</v>
      </c>
      <c r="K144" s="214">
        <v>8076</v>
      </c>
      <c r="L144" s="214">
        <v>10215</v>
      </c>
      <c r="M144" s="214">
        <v>39939</v>
      </c>
      <c r="N144" s="214">
        <v>26866</v>
      </c>
      <c r="O144" s="214">
        <v>-38801</v>
      </c>
      <c r="P144" s="214">
        <v>-10340</v>
      </c>
      <c r="Q144" s="214"/>
      <c r="R144" s="214"/>
      <c r="S144" s="214"/>
      <c r="T144" s="214"/>
      <c r="U144" s="214"/>
      <c r="V144" s="226"/>
      <c r="W144" s="281">
        <f>SUM(K144:V144)</f>
        <v>35955</v>
      </c>
      <c r="X144" s="205">
        <f t="shared" si="40"/>
        <v>35955</v>
      </c>
      <c r="Y144" s="212" t="s">
        <v>1965</v>
      </c>
      <c r="Z144" s="211"/>
      <c r="AA144" s="218" t="s">
        <v>1972</v>
      </c>
      <c r="AB144">
        <v>1</v>
      </c>
    </row>
    <row r="145" spans="1:29" ht="15.75" hidden="1" customHeight="1">
      <c r="A145" s="209">
        <v>142</v>
      </c>
      <c r="B145" s="210" t="s">
        <v>5</v>
      </c>
      <c r="C145" s="289" t="s">
        <v>1943</v>
      </c>
      <c r="D145" s="289" t="s">
        <v>1976</v>
      </c>
      <c r="E145" s="358" t="s">
        <v>21</v>
      </c>
      <c r="F145" s="289" t="s">
        <v>1975</v>
      </c>
      <c r="G145" s="342" t="s">
        <v>1970</v>
      </c>
      <c r="H145" s="289" t="s">
        <v>1964</v>
      </c>
      <c r="I145" s="358"/>
      <c r="J145" s="359" t="s">
        <v>23</v>
      </c>
      <c r="K145" s="214">
        <v>686305.47330432525</v>
      </c>
      <c r="L145" s="214">
        <v>686305.47330432525</v>
      </c>
      <c r="M145" s="214">
        <v>686305.47330432525</v>
      </c>
      <c r="N145" s="214">
        <v>686305.47330432525</v>
      </c>
      <c r="O145" s="214">
        <v>686305.47330432525</v>
      </c>
      <c r="P145" s="214">
        <v>686305.47330432525</v>
      </c>
      <c r="Q145" s="214"/>
      <c r="R145" s="214"/>
      <c r="S145" s="214"/>
      <c r="T145" s="214"/>
      <c r="U145" s="214"/>
      <c r="V145" s="226"/>
      <c r="W145" s="281">
        <f>SUM(K145:V145)</f>
        <v>4117832.8398259515</v>
      </c>
      <c r="X145" s="205">
        <f t="shared" si="40"/>
        <v>4117832.8398259515</v>
      </c>
      <c r="Y145" s="212" t="s">
        <v>1965</v>
      </c>
      <c r="Z145" s="211"/>
      <c r="AA145" s="218" t="s">
        <v>1972</v>
      </c>
      <c r="AB145">
        <v>1</v>
      </c>
    </row>
    <row r="146" spans="1:29" ht="15.75" hidden="1" customHeight="1">
      <c r="A146" s="209">
        <v>143</v>
      </c>
      <c r="B146" s="210" t="s">
        <v>5</v>
      </c>
      <c r="C146" s="289" t="s">
        <v>1943</v>
      </c>
      <c r="D146" s="289" t="s">
        <v>1976</v>
      </c>
      <c r="E146" s="358" t="s">
        <v>21</v>
      </c>
      <c r="F146" s="289" t="s">
        <v>1975</v>
      </c>
      <c r="G146" s="342" t="s">
        <v>1970</v>
      </c>
      <c r="H146" s="289" t="s">
        <v>1964</v>
      </c>
      <c r="I146" s="358"/>
      <c r="J146" s="359" t="s">
        <v>24</v>
      </c>
      <c r="K146" s="214">
        <v>111544.41193164876</v>
      </c>
      <c r="L146" s="214">
        <v>138834.89533228931</v>
      </c>
      <c r="M146" s="214">
        <v>431709.34034948028</v>
      </c>
      <c r="N146" s="214">
        <v>297753.64341929881</v>
      </c>
      <c r="O146" s="214">
        <v>-393695.62968125672</v>
      </c>
      <c r="P146" s="214">
        <v>-132707.33689367055</v>
      </c>
      <c r="Q146" s="214"/>
      <c r="R146" s="214"/>
      <c r="S146" s="214"/>
      <c r="T146" s="214"/>
      <c r="U146" s="214"/>
      <c r="V146" s="226"/>
      <c r="W146" s="282">
        <f>SUM(K146:V146)</f>
        <v>453439.32445778983</v>
      </c>
      <c r="X146" s="205">
        <f t="shared" si="40"/>
        <v>453439.32445778983</v>
      </c>
      <c r="Y146" s="212" t="s">
        <v>1965</v>
      </c>
      <c r="Z146" s="211"/>
      <c r="AA146" s="218" t="s">
        <v>1972</v>
      </c>
      <c r="AB146">
        <v>1</v>
      </c>
    </row>
    <row r="147" spans="1:29" ht="15.75" hidden="1" customHeight="1">
      <c r="A147" s="209">
        <v>144</v>
      </c>
      <c r="B147" s="210" t="s">
        <v>5</v>
      </c>
      <c r="C147" s="289" t="s">
        <v>1943</v>
      </c>
      <c r="D147" s="289" t="s">
        <v>1976</v>
      </c>
      <c r="E147" s="358" t="s">
        <v>21</v>
      </c>
      <c r="F147" s="289" t="s">
        <v>1975</v>
      </c>
      <c r="G147" s="342" t="s">
        <v>1970</v>
      </c>
      <c r="H147" s="289" t="s">
        <v>1964</v>
      </c>
      <c r="I147" s="358"/>
      <c r="J147" s="359" t="s">
        <v>14</v>
      </c>
      <c r="K147" s="214">
        <v>797849.88523597398</v>
      </c>
      <c r="L147" s="214">
        <v>825140.36863661453</v>
      </c>
      <c r="M147" s="214">
        <v>1118014.8136538055</v>
      </c>
      <c r="N147" s="214">
        <v>984059.11672362406</v>
      </c>
      <c r="O147" s="9">
        <v>292609.84362306853</v>
      </c>
      <c r="P147" s="9">
        <v>553598.13641065476</v>
      </c>
      <c r="Q147" s="9"/>
      <c r="R147" s="9"/>
      <c r="S147" s="9"/>
      <c r="T147" s="9"/>
      <c r="U147" s="9"/>
      <c r="V147" s="360"/>
      <c r="W147" s="282">
        <f>SUM(K147:V147)</f>
        <v>4571272.1642837413</v>
      </c>
      <c r="X147" s="205">
        <f t="shared" si="40"/>
        <v>4571272.1642837413</v>
      </c>
      <c r="Y147" s="212" t="s">
        <v>1965</v>
      </c>
      <c r="Z147" s="211"/>
      <c r="AA147" s="218" t="s">
        <v>1972</v>
      </c>
      <c r="AB147">
        <v>1</v>
      </c>
    </row>
    <row r="148" spans="1:29" ht="15.75" hidden="1" customHeight="1">
      <c r="A148" s="193">
        <v>145</v>
      </c>
      <c r="B148" s="210" t="s">
        <v>5</v>
      </c>
      <c r="C148" s="289" t="s">
        <v>1943</v>
      </c>
      <c r="D148" s="289" t="s">
        <v>1976</v>
      </c>
      <c r="E148" s="358" t="s">
        <v>21</v>
      </c>
      <c r="F148" s="289" t="s">
        <v>1975</v>
      </c>
      <c r="G148" s="342" t="s">
        <v>1970</v>
      </c>
      <c r="H148" s="289" t="s">
        <v>1964</v>
      </c>
      <c r="I148" s="358"/>
      <c r="J148" s="359" t="s">
        <v>25</v>
      </c>
      <c r="K148" s="214">
        <v>22.186813186813186</v>
      </c>
      <c r="L148" s="214">
        <v>22.549668874172184</v>
      </c>
      <c r="M148" s="214">
        <v>28.345635202271115</v>
      </c>
      <c r="N148" s="214">
        <v>27.639917695473251</v>
      </c>
      <c r="O148" s="9">
        <v>30.19533073929961</v>
      </c>
      <c r="P148" s="9">
        <v>23.879907621247114</v>
      </c>
      <c r="Q148" s="9"/>
      <c r="R148" s="9"/>
      <c r="S148" s="9"/>
      <c r="T148" s="9"/>
      <c r="U148" s="9"/>
      <c r="V148" s="360"/>
      <c r="W148" s="282">
        <f>IF(W144=0,0,IF(W143=0,0,W144/W143))</f>
        <v>24.293918918918919</v>
      </c>
      <c r="X148" s="365">
        <f t="shared" si="40"/>
        <v>154.79727331927643</v>
      </c>
      <c r="Y148" s="212" t="s">
        <v>1965</v>
      </c>
      <c r="Z148" s="211"/>
      <c r="AA148" s="218" t="s">
        <v>1972</v>
      </c>
      <c r="AB148">
        <v>2</v>
      </c>
    </row>
    <row r="149" spans="1:29" ht="15.75" hidden="1" customHeight="1" thickBot="1">
      <c r="A149" s="209">
        <v>146</v>
      </c>
      <c r="B149" s="250" t="s">
        <v>5</v>
      </c>
      <c r="C149" s="290" t="s">
        <v>1943</v>
      </c>
      <c r="D149" s="290" t="s">
        <v>1976</v>
      </c>
      <c r="E149" s="362" t="s">
        <v>21</v>
      </c>
      <c r="F149" s="290" t="s">
        <v>1975</v>
      </c>
      <c r="G149" s="363" t="s">
        <v>1970</v>
      </c>
      <c r="H149" s="290" t="s">
        <v>1964</v>
      </c>
      <c r="I149" s="362"/>
      <c r="J149" s="252" t="s">
        <v>16</v>
      </c>
      <c r="K149" s="253">
        <v>98.79270495740144</v>
      </c>
      <c r="L149" s="253">
        <v>80.777324389291678</v>
      </c>
      <c r="M149" s="253">
        <v>27.993059757475287</v>
      </c>
      <c r="N149" s="253">
        <v>36.628419441808383</v>
      </c>
      <c r="O149" s="253">
        <v>-7.5412964517169279</v>
      </c>
      <c r="P149" s="253">
        <v>-53.539471606446298</v>
      </c>
      <c r="Q149" s="253"/>
      <c r="R149" s="253"/>
      <c r="S149" s="253"/>
      <c r="T149" s="253"/>
      <c r="U149" s="253"/>
      <c r="V149" s="253"/>
      <c r="W149" s="256">
        <f>IF(W147=0,0,IF(W144=0,0,W147/W144))</f>
        <v>127.13870572336924</v>
      </c>
      <c r="X149" s="299">
        <f>IF(X147=0,0,IF(X144=0,0,X147/X144))</f>
        <v>127.13870572336924</v>
      </c>
      <c r="Y149" s="266" t="s">
        <v>1965</v>
      </c>
      <c r="Z149" s="234"/>
      <c r="AA149" s="235" t="s">
        <v>1972</v>
      </c>
      <c r="AB149">
        <v>2</v>
      </c>
    </row>
    <row r="150" spans="1:29" ht="15.75" hidden="1" customHeight="1">
      <c r="A150" s="209">
        <v>147</v>
      </c>
      <c r="B150" s="291" t="s">
        <v>5</v>
      </c>
      <c r="C150" s="267" t="s">
        <v>1955</v>
      </c>
      <c r="D150" s="267"/>
      <c r="E150" s="286" t="s">
        <v>21</v>
      </c>
      <c r="F150" s="267" t="s">
        <v>1977</v>
      </c>
      <c r="G150" s="335" t="s">
        <v>1970</v>
      </c>
      <c r="H150" s="284" t="s">
        <v>1964</v>
      </c>
      <c r="I150" s="336"/>
      <c r="J150" s="292" t="s">
        <v>22</v>
      </c>
      <c r="K150" s="239">
        <v>574</v>
      </c>
      <c r="L150" s="239">
        <v>855</v>
      </c>
      <c r="M150" s="239">
        <v>750</v>
      </c>
      <c r="N150" s="239">
        <v>733</v>
      </c>
      <c r="O150" s="239">
        <v>-188</v>
      </c>
      <c r="P150" s="239">
        <v>1300</v>
      </c>
      <c r="Q150" s="239"/>
      <c r="R150" s="239"/>
      <c r="S150" s="239"/>
      <c r="T150" s="239"/>
      <c r="U150" s="239"/>
      <c r="V150" s="287"/>
      <c r="W150" s="338">
        <f>SUM(K150:V150)</f>
        <v>4024</v>
      </c>
      <c r="X150" s="205">
        <f t="shared" ref="X150:X155" si="41">SUM(K150:P150)</f>
        <v>4024</v>
      </c>
      <c r="Y150" s="285" t="s">
        <v>1965</v>
      </c>
      <c r="Z150" s="286"/>
      <c r="AA150" s="294" t="s">
        <v>1972</v>
      </c>
      <c r="AB150">
        <v>1</v>
      </c>
      <c r="AC150" s="7"/>
    </row>
    <row r="151" spans="1:29" ht="15.75" hidden="1" customHeight="1">
      <c r="A151" s="209">
        <v>148</v>
      </c>
      <c r="B151" s="295" t="s">
        <v>5</v>
      </c>
      <c r="C151" s="273" t="s">
        <v>1955</v>
      </c>
      <c r="D151" s="273"/>
      <c r="E151" s="275" t="s">
        <v>21</v>
      </c>
      <c r="F151" s="273" t="s">
        <v>1977</v>
      </c>
      <c r="G151" s="342" t="s">
        <v>1970</v>
      </c>
      <c r="H151" s="289" t="s">
        <v>1964</v>
      </c>
      <c r="I151" s="358"/>
      <c r="J151" s="261" t="s">
        <v>10</v>
      </c>
      <c r="K151" s="214">
        <v>26233.000000000004</v>
      </c>
      <c r="L151" s="214">
        <v>25609.369999999995</v>
      </c>
      <c r="M151" s="214">
        <v>28628.349999999995</v>
      </c>
      <c r="N151" s="214">
        <v>15579.649999999996</v>
      </c>
      <c r="O151" s="214">
        <v>25719.15</v>
      </c>
      <c r="P151" s="214">
        <v>60979</v>
      </c>
      <c r="Q151" s="214"/>
      <c r="R151" s="214"/>
      <c r="S151" s="214"/>
      <c r="T151" s="214"/>
      <c r="U151" s="214"/>
      <c r="V151" s="226"/>
      <c r="W151" s="281">
        <f>SUM(K151:V151)</f>
        <v>182748.52</v>
      </c>
      <c r="X151" s="205">
        <f t="shared" si="41"/>
        <v>182748.52</v>
      </c>
      <c r="Y151" s="274" t="s">
        <v>1965</v>
      </c>
      <c r="Z151" s="275"/>
      <c r="AA151" s="296" t="s">
        <v>1972</v>
      </c>
      <c r="AB151">
        <v>1</v>
      </c>
      <c r="AC151" s="7"/>
    </row>
    <row r="152" spans="1:29" ht="15.75" hidden="1" customHeight="1">
      <c r="A152" s="193">
        <v>149</v>
      </c>
      <c r="B152" s="295" t="s">
        <v>5</v>
      </c>
      <c r="C152" s="273" t="s">
        <v>1955</v>
      </c>
      <c r="D152" s="273"/>
      <c r="E152" s="275" t="s">
        <v>21</v>
      </c>
      <c r="F152" s="273" t="s">
        <v>1977</v>
      </c>
      <c r="G152" s="342" t="s">
        <v>1970</v>
      </c>
      <c r="H152" s="289" t="s">
        <v>1964</v>
      </c>
      <c r="I152" s="358"/>
      <c r="J152" s="261" t="s">
        <v>23</v>
      </c>
      <c r="K152" s="214">
        <v>846356.66492308828</v>
      </c>
      <c r="L152" s="214">
        <v>846356.66492308828</v>
      </c>
      <c r="M152" s="214">
        <v>846356.66492308828</v>
      </c>
      <c r="N152" s="214">
        <v>846356.66492308828</v>
      </c>
      <c r="O152" s="214">
        <v>846356.66492308828</v>
      </c>
      <c r="P152" s="214">
        <v>846356.66492308828</v>
      </c>
      <c r="Q152" s="214"/>
      <c r="R152" s="214"/>
      <c r="S152" s="214"/>
      <c r="T152" s="214"/>
      <c r="U152" s="214"/>
      <c r="V152" s="226"/>
      <c r="W152" s="281">
        <f>SUM(K152:V152)</f>
        <v>5078139.9895385299</v>
      </c>
      <c r="X152" s="205">
        <f t="shared" si="41"/>
        <v>5078139.9895385299</v>
      </c>
      <c r="Y152" s="274" t="s">
        <v>1965</v>
      </c>
      <c r="Z152" s="275"/>
      <c r="AA152" s="296" t="s">
        <v>1972</v>
      </c>
      <c r="AB152">
        <v>1</v>
      </c>
      <c r="AC152" s="7"/>
    </row>
    <row r="153" spans="1:29" ht="15.75" hidden="1" customHeight="1">
      <c r="A153" s="209">
        <v>150</v>
      </c>
      <c r="B153" s="295" t="s">
        <v>5</v>
      </c>
      <c r="C153" s="273" t="s">
        <v>1955</v>
      </c>
      <c r="D153" s="273"/>
      <c r="E153" s="275" t="s">
        <v>21</v>
      </c>
      <c r="F153" s="273" t="s">
        <v>1977</v>
      </c>
      <c r="G153" s="342" t="s">
        <v>1970</v>
      </c>
      <c r="H153" s="289" t="s">
        <v>1964</v>
      </c>
      <c r="I153" s="358"/>
      <c r="J153" s="261" t="s">
        <v>24</v>
      </c>
      <c r="K153" s="214">
        <v>144287.32258953113</v>
      </c>
      <c r="L153" s="214">
        <v>214888.72034117818</v>
      </c>
      <c r="M153" s="214">
        <v>188498.87749226158</v>
      </c>
      <c r="N153" s="214">
        <v>184271.93296667747</v>
      </c>
      <c r="O153" s="214">
        <v>-47296.081988967373</v>
      </c>
      <c r="P153" s="214">
        <v>326731.38765325339</v>
      </c>
      <c r="Q153" s="214"/>
      <c r="R153" s="214"/>
      <c r="S153" s="214"/>
      <c r="T153" s="214"/>
      <c r="U153" s="214"/>
      <c r="V153" s="226"/>
      <c r="W153" s="282">
        <f>SUM(K153:V153)</f>
        <v>1011382.1590539344</v>
      </c>
      <c r="X153" s="205">
        <f t="shared" si="41"/>
        <v>1011382.1590539344</v>
      </c>
      <c r="Y153" s="274" t="s">
        <v>1965</v>
      </c>
      <c r="Z153" s="275"/>
      <c r="AA153" s="296" t="s">
        <v>1972</v>
      </c>
      <c r="AB153">
        <v>1</v>
      </c>
      <c r="AC153" s="7"/>
    </row>
    <row r="154" spans="1:29" ht="15.75" hidden="1" customHeight="1">
      <c r="A154" s="209">
        <v>151</v>
      </c>
      <c r="B154" s="295" t="s">
        <v>5</v>
      </c>
      <c r="C154" s="273" t="s">
        <v>1955</v>
      </c>
      <c r="D154" s="273"/>
      <c r="E154" s="275" t="s">
        <v>21</v>
      </c>
      <c r="F154" s="273" t="s">
        <v>1977</v>
      </c>
      <c r="G154" s="342" t="s">
        <v>1970</v>
      </c>
      <c r="H154" s="289" t="s">
        <v>1964</v>
      </c>
      <c r="I154" s="358"/>
      <c r="J154" s="261" t="s">
        <v>14</v>
      </c>
      <c r="K154" s="214">
        <v>990643.98751261947</v>
      </c>
      <c r="L154" s="214">
        <v>1061245.3852642665</v>
      </c>
      <c r="M154" s="214">
        <v>1034855.5424153499</v>
      </c>
      <c r="N154" s="214">
        <v>1030628.5978897657</v>
      </c>
      <c r="O154" s="214">
        <v>799060.5829341209</v>
      </c>
      <c r="P154" s="214">
        <v>1173088.0525763417</v>
      </c>
      <c r="Q154" s="214"/>
      <c r="R154" s="214"/>
      <c r="S154" s="214"/>
      <c r="T154" s="214"/>
      <c r="U154" s="214"/>
      <c r="V154" s="226"/>
      <c r="W154" s="282">
        <f>SUM(K154:V154)</f>
        <v>6089522.1485924637</v>
      </c>
      <c r="X154" s="205">
        <f t="shared" si="41"/>
        <v>6089522.1485924637</v>
      </c>
      <c r="Y154" s="274" t="s">
        <v>1965</v>
      </c>
      <c r="Z154" s="275"/>
      <c r="AA154" s="296" t="s">
        <v>1972</v>
      </c>
      <c r="AB154">
        <v>1</v>
      </c>
      <c r="AC154" s="7"/>
    </row>
    <row r="155" spans="1:29" ht="15.75" hidden="1" customHeight="1">
      <c r="A155" s="209">
        <v>152</v>
      </c>
      <c r="B155" s="295" t="s">
        <v>5</v>
      </c>
      <c r="C155" s="273" t="s">
        <v>1955</v>
      </c>
      <c r="D155" s="273"/>
      <c r="E155" s="275" t="s">
        <v>21</v>
      </c>
      <c r="F155" s="273" t="s">
        <v>1977</v>
      </c>
      <c r="G155" s="342" t="s">
        <v>1970</v>
      </c>
      <c r="H155" s="289" t="s">
        <v>1964</v>
      </c>
      <c r="I155" s="358"/>
      <c r="J155" s="261" t="s">
        <v>25</v>
      </c>
      <c r="K155" s="214">
        <v>45.668989547038329</v>
      </c>
      <c r="L155" s="214">
        <v>45.649122807017541</v>
      </c>
      <c r="M155" s="214">
        <v>44.268000000000001</v>
      </c>
      <c r="N155" s="214">
        <v>45.511596180081852</v>
      </c>
      <c r="O155" s="9">
        <v>53.377659574468083</v>
      </c>
      <c r="P155" s="9">
        <v>46.906923076923078</v>
      </c>
      <c r="Q155" s="9"/>
      <c r="R155" s="9"/>
      <c r="S155" s="9"/>
      <c r="T155" s="9"/>
      <c r="U155" s="9"/>
      <c r="V155" s="360"/>
      <c r="W155" s="282">
        <f>IF(W151=0,0,IF(W150=0,0,W151/W150))</f>
        <v>45.414642147117291</v>
      </c>
      <c r="X155" s="365">
        <f t="shared" si="41"/>
        <v>281.38229118552886</v>
      </c>
      <c r="Y155" s="274" t="s">
        <v>1965</v>
      </c>
      <c r="Z155" s="275"/>
      <c r="AA155" s="296" t="s">
        <v>1972</v>
      </c>
      <c r="AB155">
        <v>2</v>
      </c>
      <c r="AC155" s="7"/>
    </row>
    <row r="156" spans="1:29" ht="15.75" hidden="1" customHeight="1" thickBot="1">
      <c r="A156" s="193">
        <v>153</v>
      </c>
      <c r="B156" s="298" t="s">
        <v>5</v>
      </c>
      <c r="C156" s="277" t="s">
        <v>1955</v>
      </c>
      <c r="D156" s="277"/>
      <c r="E156" s="279" t="s">
        <v>21</v>
      </c>
      <c r="F156" s="277" t="s">
        <v>1977</v>
      </c>
      <c r="G156" s="363" t="s">
        <v>1970</v>
      </c>
      <c r="H156" s="290" t="s">
        <v>1964</v>
      </c>
      <c r="I156" s="362"/>
      <c r="J156" s="252" t="s">
        <v>16</v>
      </c>
      <c r="K156" s="253">
        <v>37.790645743214291</v>
      </c>
      <c r="L156" s="253">
        <v>27.190504362394734</v>
      </c>
      <c r="M156" s="253">
        <v>31.169408825497722</v>
      </c>
      <c r="N156" s="253">
        <v>30.894142622594895</v>
      </c>
      <c r="O156" s="253">
        <v>-79.627362524576071</v>
      </c>
      <c r="P156" s="253">
        <v>19.237574453112412</v>
      </c>
      <c r="Q156" s="253"/>
      <c r="R156" s="253"/>
      <c r="S156" s="253"/>
      <c r="T156" s="253"/>
      <c r="U156" s="253"/>
      <c r="V156" s="253"/>
      <c r="W156" s="256">
        <f>IF(W154=0,0,IF(W151=0,0,W154/W151))</f>
        <v>33.321868481301323</v>
      </c>
      <c r="X156" s="299">
        <f>IF(X154=0,0,IF(X151=0,0,X154/X151))</f>
        <v>33.321868481301323</v>
      </c>
      <c r="Y156" s="278" t="s">
        <v>1965</v>
      </c>
      <c r="Z156" s="279"/>
      <c r="AA156" s="300" t="s">
        <v>1972</v>
      </c>
      <c r="AB156">
        <v>2</v>
      </c>
      <c r="AC156" s="7"/>
    </row>
    <row r="157" spans="1:29" ht="15.75" hidden="1" customHeight="1">
      <c r="A157" s="209">
        <v>154</v>
      </c>
      <c r="B157" s="237" t="s">
        <v>5</v>
      </c>
      <c r="C157" s="284" t="s">
        <v>1948</v>
      </c>
      <c r="D157" s="284" t="s">
        <v>1978</v>
      </c>
      <c r="E157" s="336" t="s">
        <v>21</v>
      </c>
      <c r="F157" s="284" t="s">
        <v>1979</v>
      </c>
      <c r="G157" s="335" t="s">
        <v>1970</v>
      </c>
      <c r="H157" s="284" t="s">
        <v>1964</v>
      </c>
      <c r="I157" s="336"/>
      <c r="J157" s="364" t="s">
        <v>22</v>
      </c>
      <c r="K157" s="239">
        <v>0</v>
      </c>
      <c r="L157" s="239">
        <v>219</v>
      </c>
      <c r="M157" s="239">
        <v>-158</v>
      </c>
      <c r="N157" s="239">
        <v>158</v>
      </c>
      <c r="O157" s="239">
        <v>-161</v>
      </c>
      <c r="P157" s="239">
        <v>161</v>
      </c>
      <c r="Q157" s="239"/>
      <c r="R157" s="239"/>
      <c r="S157" s="239"/>
      <c r="T157" s="239"/>
      <c r="U157" s="239"/>
      <c r="V157" s="287"/>
      <c r="W157" s="338">
        <f>SUM(K157:V157)</f>
        <v>219</v>
      </c>
      <c r="X157" s="205">
        <f t="shared" ref="X157:X162" si="42">SUM(K157:P157)</f>
        <v>219</v>
      </c>
      <c r="Y157" s="196" t="s">
        <v>1965</v>
      </c>
      <c r="Z157" s="199"/>
      <c r="AA157" s="244" t="s">
        <v>1972</v>
      </c>
      <c r="AB157">
        <v>1</v>
      </c>
    </row>
    <row r="158" spans="1:29" ht="15.75" hidden="1" customHeight="1">
      <c r="A158" s="209">
        <v>155</v>
      </c>
      <c r="B158" s="210" t="s">
        <v>5</v>
      </c>
      <c r="C158" s="289" t="s">
        <v>1948</v>
      </c>
      <c r="D158" s="289" t="s">
        <v>1978</v>
      </c>
      <c r="E158" s="358" t="s">
        <v>21</v>
      </c>
      <c r="F158" s="289" t="s">
        <v>1979</v>
      </c>
      <c r="G158" s="342" t="s">
        <v>1970</v>
      </c>
      <c r="H158" s="289" t="s">
        <v>1964</v>
      </c>
      <c r="I158" s="358"/>
      <c r="J158" s="359" t="s">
        <v>10</v>
      </c>
      <c r="K158" s="214">
        <v>0</v>
      </c>
      <c r="L158" s="214">
        <v>1676</v>
      </c>
      <c r="M158" s="214">
        <v>429</v>
      </c>
      <c r="N158" s="214">
        <v>-429</v>
      </c>
      <c r="O158" s="214">
        <v>-960</v>
      </c>
      <c r="P158" s="214">
        <v>960</v>
      </c>
      <c r="Q158" s="214"/>
      <c r="R158" s="214"/>
      <c r="S158" s="214"/>
      <c r="T158" s="214"/>
      <c r="U158" s="214"/>
      <c r="V158" s="226"/>
      <c r="W158" s="281">
        <f>SUM(K158:V158)</f>
        <v>1676</v>
      </c>
      <c r="X158" s="205">
        <f t="shared" si="42"/>
        <v>1676</v>
      </c>
      <c r="Y158" s="1" t="s">
        <v>1965</v>
      </c>
      <c r="Z158" s="211"/>
      <c r="AA158" s="218" t="s">
        <v>1972</v>
      </c>
      <c r="AB158">
        <v>1</v>
      </c>
    </row>
    <row r="159" spans="1:29" ht="15.75" hidden="1" customHeight="1">
      <c r="A159" s="209">
        <v>156</v>
      </c>
      <c r="B159" s="210" t="s">
        <v>5</v>
      </c>
      <c r="C159" s="289" t="s">
        <v>1948</v>
      </c>
      <c r="D159" s="289" t="s">
        <v>1978</v>
      </c>
      <c r="E159" s="358" t="s">
        <v>21</v>
      </c>
      <c r="F159" s="289" t="s">
        <v>1979</v>
      </c>
      <c r="G159" s="342" t="s">
        <v>1970</v>
      </c>
      <c r="H159" s="289" t="s">
        <v>1964</v>
      </c>
      <c r="I159" s="358"/>
      <c r="J159" s="359" t="s">
        <v>23</v>
      </c>
      <c r="K159" s="214">
        <v>29517.022043651101</v>
      </c>
      <c r="L159" s="214">
        <v>29517.022043651101</v>
      </c>
      <c r="M159" s="214">
        <v>29517.022043651101</v>
      </c>
      <c r="N159" s="214">
        <v>29517.022043651101</v>
      </c>
      <c r="O159" s="214">
        <v>29517.022043651101</v>
      </c>
      <c r="P159" s="214">
        <v>29517.022043651101</v>
      </c>
      <c r="Q159" s="214"/>
      <c r="R159" s="214"/>
      <c r="S159" s="214"/>
      <c r="T159" s="214"/>
      <c r="U159" s="214"/>
      <c r="V159" s="226"/>
      <c r="W159" s="281">
        <f>SUM(K159:V159)</f>
        <v>177102.13226190658</v>
      </c>
      <c r="X159" s="205">
        <f t="shared" si="42"/>
        <v>177102.13226190658</v>
      </c>
      <c r="Y159" s="1" t="s">
        <v>1965</v>
      </c>
      <c r="Z159" s="211"/>
      <c r="AA159" s="218" t="s">
        <v>1972</v>
      </c>
      <c r="AB159">
        <v>1</v>
      </c>
    </row>
    <row r="160" spans="1:29" ht="15.75" hidden="1" customHeight="1">
      <c r="A160" s="193">
        <v>157</v>
      </c>
      <c r="B160" s="210" t="s">
        <v>5</v>
      </c>
      <c r="C160" s="289" t="s">
        <v>1948</v>
      </c>
      <c r="D160" s="289" t="s">
        <v>1978</v>
      </c>
      <c r="E160" s="358" t="s">
        <v>21</v>
      </c>
      <c r="F160" s="289" t="s">
        <v>1979</v>
      </c>
      <c r="G160" s="342" t="s">
        <v>1970</v>
      </c>
      <c r="H160" s="289" t="s">
        <v>1964</v>
      </c>
      <c r="I160" s="358"/>
      <c r="J160" s="359" t="s">
        <v>24</v>
      </c>
      <c r="K160" s="214">
        <v>0</v>
      </c>
      <c r="L160" s="214">
        <v>55064.520576527313</v>
      </c>
      <c r="M160" s="214">
        <v>-39641.885145342276</v>
      </c>
      <c r="N160" s="214">
        <v>-15422.635431185037</v>
      </c>
      <c r="O160" s="214">
        <v>0</v>
      </c>
      <c r="P160" s="214">
        <v>0</v>
      </c>
      <c r="Q160" s="214"/>
      <c r="R160" s="214"/>
      <c r="S160" s="214"/>
      <c r="T160" s="214"/>
      <c r="U160" s="214"/>
      <c r="V160" s="226"/>
      <c r="W160" s="281">
        <f>SUM(K160:V160)</f>
        <v>0</v>
      </c>
      <c r="X160" s="205">
        <f t="shared" si="42"/>
        <v>0</v>
      </c>
      <c r="Y160" s="1" t="s">
        <v>1965</v>
      </c>
      <c r="Z160" s="211"/>
      <c r="AA160" s="218" t="s">
        <v>1972</v>
      </c>
      <c r="AB160">
        <v>1</v>
      </c>
    </row>
    <row r="161" spans="1:28" ht="15.75" hidden="1" customHeight="1">
      <c r="A161" s="209">
        <v>158</v>
      </c>
      <c r="B161" s="210" t="s">
        <v>5</v>
      </c>
      <c r="C161" s="289" t="s">
        <v>1948</v>
      </c>
      <c r="D161" s="289" t="s">
        <v>1978</v>
      </c>
      <c r="E161" s="358" t="s">
        <v>21</v>
      </c>
      <c r="F161" s="289" t="s">
        <v>1979</v>
      </c>
      <c r="G161" s="342" t="s">
        <v>1970</v>
      </c>
      <c r="H161" s="289" t="s">
        <v>1964</v>
      </c>
      <c r="I161" s="358"/>
      <c r="J161" s="359" t="s">
        <v>14</v>
      </c>
      <c r="K161" s="214">
        <v>29517.022043651101</v>
      </c>
      <c r="L161" s="214">
        <v>84581.542620178414</v>
      </c>
      <c r="M161" s="214">
        <v>-10124.863101691175</v>
      </c>
      <c r="N161" s="214">
        <v>14094.386612466064</v>
      </c>
      <c r="O161" s="214">
        <v>29517.022043651101</v>
      </c>
      <c r="P161" s="214">
        <v>29517.022043651101</v>
      </c>
      <c r="Q161" s="214"/>
      <c r="R161" s="214"/>
      <c r="S161" s="214"/>
      <c r="T161" s="214"/>
      <c r="U161" s="214"/>
      <c r="V161" s="226"/>
      <c r="W161" s="282">
        <f>SUM(K161:V161)</f>
        <v>177102.13226190658</v>
      </c>
      <c r="X161" s="205">
        <f t="shared" si="42"/>
        <v>177102.13226190658</v>
      </c>
      <c r="Y161" s="1" t="s">
        <v>1965</v>
      </c>
      <c r="Z161" s="211"/>
      <c r="AA161" s="218" t="s">
        <v>1972</v>
      </c>
      <c r="AB161">
        <v>1</v>
      </c>
    </row>
    <row r="162" spans="1:28" ht="15.75" hidden="1" customHeight="1">
      <c r="A162" s="209">
        <v>159</v>
      </c>
      <c r="B162" s="210" t="s">
        <v>5</v>
      </c>
      <c r="C162" s="289" t="s">
        <v>1948</v>
      </c>
      <c r="D162" s="289" t="s">
        <v>1978</v>
      </c>
      <c r="E162" s="358" t="s">
        <v>21</v>
      </c>
      <c r="F162" s="289" t="s">
        <v>1979</v>
      </c>
      <c r="G162" s="342" t="s">
        <v>1970</v>
      </c>
      <c r="H162" s="289" t="s">
        <v>1964</v>
      </c>
      <c r="I162" s="358"/>
      <c r="J162" s="359" t="s">
        <v>25</v>
      </c>
      <c r="K162" s="9">
        <v>0</v>
      </c>
      <c r="L162" s="9">
        <v>7.6529680365296802</v>
      </c>
      <c r="M162" s="9">
        <v>-2.7151898734177213</v>
      </c>
      <c r="N162" s="9">
        <v>-2.7151898734177213</v>
      </c>
      <c r="O162" s="9">
        <v>5.9627329192546581</v>
      </c>
      <c r="P162" s="9">
        <v>5.9627329192546581</v>
      </c>
      <c r="Q162" s="9"/>
      <c r="R162" s="9"/>
      <c r="S162" s="9"/>
      <c r="T162" s="9"/>
      <c r="U162" s="9"/>
      <c r="V162" s="360"/>
      <c r="W162" s="282">
        <f>IF(W158=0,0,IF(W157=0,0,W158/W157))</f>
        <v>7.6529680365296802</v>
      </c>
      <c r="X162" s="365">
        <f t="shared" si="42"/>
        <v>14.148054128203555</v>
      </c>
      <c r="Y162" s="1" t="s">
        <v>1965</v>
      </c>
      <c r="Z162" s="211"/>
      <c r="AA162" s="218" t="s">
        <v>1972</v>
      </c>
      <c r="AB162">
        <v>2</v>
      </c>
    </row>
    <row r="163" spans="1:28" ht="15.75" hidden="1" customHeight="1" thickBot="1">
      <c r="A163" s="367">
        <v>160</v>
      </c>
      <c r="B163" s="230" t="s">
        <v>5</v>
      </c>
      <c r="C163" s="368" t="s">
        <v>1948</v>
      </c>
      <c r="D163" s="368" t="s">
        <v>1978</v>
      </c>
      <c r="E163" s="369" t="s">
        <v>21</v>
      </c>
      <c r="F163" s="368" t="s">
        <v>1979</v>
      </c>
      <c r="G163" s="370" t="s">
        <v>1970</v>
      </c>
      <c r="H163" s="368" t="s">
        <v>1964</v>
      </c>
      <c r="I163" s="369"/>
      <c r="J163" s="252" t="s">
        <v>16</v>
      </c>
      <c r="K163" s="253">
        <v>0</v>
      </c>
      <c r="L163" s="253">
        <v>50.466314212516956</v>
      </c>
      <c r="M163" s="253">
        <v>-23.60107949112162</v>
      </c>
      <c r="N163" s="253">
        <v>-32.854048047706442</v>
      </c>
      <c r="O163" s="253">
        <v>-30.746897962136565</v>
      </c>
      <c r="P163" s="253">
        <v>30.746897962136565</v>
      </c>
      <c r="Q163" s="253" t="e">
        <f t="shared" ref="Q163:V163" si="43">Q161/Q158</f>
        <v>#DIV/0!</v>
      </c>
      <c r="R163" s="253" t="e">
        <f t="shared" si="43"/>
        <v>#DIV/0!</v>
      </c>
      <c r="S163" s="253" t="e">
        <f t="shared" si="43"/>
        <v>#DIV/0!</v>
      </c>
      <c r="T163" s="253" t="e">
        <f t="shared" si="43"/>
        <v>#DIV/0!</v>
      </c>
      <c r="U163" s="253" t="e">
        <f t="shared" si="43"/>
        <v>#DIV/0!</v>
      </c>
      <c r="V163" s="253" t="e">
        <f t="shared" si="43"/>
        <v>#DIV/0!</v>
      </c>
      <c r="W163" s="256">
        <f>IF(W161=0,0,IF(W158=0,0,W161/W158))</f>
        <v>105.66952998920441</v>
      </c>
      <c r="X163" s="299">
        <f>IF(X161=0,0,IF(X158=0,0,X161/X158))</f>
        <v>105.66952998920441</v>
      </c>
      <c r="Y163" s="231" t="s">
        <v>1965</v>
      </c>
      <c r="Z163" s="2"/>
      <c r="AA163" s="258" t="s">
        <v>1972</v>
      </c>
      <c r="AB163">
        <v>2</v>
      </c>
    </row>
    <row r="164" spans="1:28" ht="15.75" hidden="1" customHeight="1">
      <c r="A164" s="236">
        <v>161</v>
      </c>
      <c r="B164" s="237" t="s">
        <v>5</v>
      </c>
      <c r="C164" s="284" t="s">
        <v>1948</v>
      </c>
      <c r="D164" s="284" t="s">
        <v>1974</v>
      </c>
      <c r="E164" s="336" t="s">
        <v>21</v>
      </c>
      <c r="F164" s="284" t="s">
        <v>1979</v>
      </c>
      <c r="G164" s="335" t="s">
        <v>1970</v>
      </c>
      <c r="H164" s="284" t="s">
        <v>1964</v>
      </c>
      <c r="I164" s="336"/>
      <c r="J164" s="364" t="s">
        <v>22</v>
      </c>
      <c r="K164" s="239">
        <v>0</v>
      </c>
      <c r="L164" s="239">
        <v>0</v>
      </c>
      <c r="M164" s="239">
        <v>0</v>
      </c>
      <c r="N164" s="239">
        <v>662</v>
      </c>
      <c r="O164" s="239">
        <v>161</v>
      </c>
      <c r="P164" s="239">
        <v>-79</v>
      </c>
      <c r="Q164" s="239"/>
      <c r="R164" s="239"/>
      <c r="S164" s="239"/>
      <c r="T164" s="239"/>
      <c r="U164" s="239"/>
      <c r="V164" s="287"/>
      <c r="W164" s="338">
        <f>SUM(K164:V164)</f>
        <v>744</v>
      </c>
      <c r="X164" s="205">
        <f t="shared" ref="X164:X169" si="44">SUM(K164:P164)</f>
        <v>744</v>
      </c>
      <c r="Y164" s="196" t="s">
        <v>1965</v>
      </c>
      <c r="Z164" s="199"/>
      <c r="AA164" s="244" t="s">
        <v>1972</v>
      </c>
      <c r="AB164">
        <v>1</v>
      </c>
    </row>
    <row r="165" spans="1:28" ht="15.75" hidden="1" customHeight="1">
      <c r="A165" s="209">
        <v>162</v>
      </c>
      <c r="B165" s="210" t="s">
        <v>5</v>
      </c>
      <c r="C165" s="289" t="s">
        <v>1948</v>
      </c>
      <c r="D165" s="289" t="s">
        <v>1974</v>
      </c>
      <c r="E165" s="358" t="s">
        <v>21</v>
      </c>
      <c r="F165" s="289" t="s">
        <v>1979</v>
      </c>
      <c r="G165" s="342" t="s">
        <v>1970</v>
      </c>
      <c r="H165" s="289" t="s">
        <v>1964</v>
      </c>
      <c r="I165" s="358"/>
      <c r="J165" s="359" t="s">
        <v>10</v>
      </c>
      <c r="K165" s="214">
        <v>0</v>
      </c>
      <c r="L165" s="214">
        <v>0</v>
      </c>
      <c r="M165" s="214">
        <v>0</v>
      </c>
      <c r="N165" s="214">
        <v>9605</v>
      </c>
      <c r="O165" s="214">
        <v>2988</v>
      </c>
      <c r="P165" s="214">
        <v>-47</v>
      </c>
      <c r="Q165" s="214"/>
      <c r="R165" s="214"/>
      <c r="S165" s="214"/>
      <c r="T165" s="214"/>
      <c r="U165" s="214"/>
      <c r="V165" s="226"/>
      <c r="W165" s="281">
        <f>SUM(K165:V165)</f>
        <v>12546</v>
      </c>
      <c r="X165" s="205">
        <f t="shared" si="44"/>
        <v>12546</v>
      </c>
      <c r="Y165" s="1" t="s">
        <v>1965</v>
      </c>
      <c r="Z165" s="211"/>
      <c r="AA165" s="218" t="s">
        <v>1972</v>
      </c>
      <c r="AB165">
        <v>1</v>
      </c>
    </row>
    <row r="166" spans="1:28" ht="15.75" hidden="1" customHeight="1">
      <c r="A166" s="209">
        <v>163</v>
      </c>
      <c r="B166" s="210" t="s">
        <v>5</v>
      </c>
      <c r="C166" s="289" t="s">
        <v>1948</v>
      </c>
      <c r="D166" s="289" t="s">
        <v>1974</v>
      </c>
      <c r="E166" s="358" t="s">
        <v>21</v>
      </c>
      <c r="F166" s="289" t="s">
        <v>1979</v>
      </c>
      <c r="G166" s="342" t="s">
        <v>1970</v>
      </c>
      <c r="H166" s="289" t="s">
        <v>1964</v>
      </c>
      <c r="I166" s="358"/>
      <c r="J166" s="359" t="s">
        <v>23</v>
      </c>
      <c r="K166" s="214">
        <v>170313.82329088214</v>
      </c>
      <c r="L166" s="214">
        <v>170313.82329088214</v>
      </c>
      <c r="M166" s="214">
        <v>170313.82329088214</v>
      </c>
      <c r="N166" s="214">
        <v>170313.82329088214</v>
      </c>
      <c r="O166" s="214">
        <v>170313.82329088214</v>
      </c>
      <c r="P166" s="214">
        <v>170313.82329088214</v>
      </c>
      <c r="Q166" s="214"/>
      <c r="R166" s="214"/>
      <c r="S166" s="214"/>
      <c r="T166" s="214"/>
      <c r="U166" s="214"/>
      <c r="V166" s="226"/>
      <c r="W166" s="281">
        <f>SUM(K166:V166)</f>
        <v>1021882.9397452929</v>
      </c>
      <c r="X166" s="205">
        <f t="shared" si="44"/>
        <v>1021882.9397452929</v>
      </c>
      <c r="Y166" s="1" t="s">
        <v>1965</v>
      </c>
      <c r="Z166" s="211"/>
      <c r="AA166" s="218" t="s">
        <v>1972</v>
      </c>
      <c r="AB166">
        <v>1</v>
      </c>
    </row>
    <row r="167" spans="1:28" ht="15.75" hidden="1" customHeight="1">
      <c r="A167" s="209">
        <v>164</v>
      </c>
      <c r="B167" s="210" t="s">
        <v>5</v>
      </c>
      <c r="C167" s="289" t="s">
        <v>1948</v>
      </c>
      <c r="D167" s="289" t="s">
        <v>1974</v>
      </c>
      <c r="E167" s="358" t="s">
        <v>21</v>
      </c>
      <c r="F167" s="289" t="s">
        <v>1979</v>
      </c>
      <c r="G167" s="342" t="s">
        <v>1970</v>
      </c>
      <c r="H167" s="289" t="s">
        <v>1964</v>
      </c>
      <c r="I167" s="358"/>
      <c r="J167" s="359" t="s">
        <v>24</v>
      </c>
      <c r="K167" s="214">
        <v>0</v>
      </c>
      <c r="L167" s="214">
        <v>0</v>
      </c>
      <c r="M167" s="214">
        <v>0</v>
      </c>
      <c r="N167" s="214">
        <v>166450.22091286368</v>
      </c>
      <c r="O167" s="214">
        <v>40441.577352885215</v>
      </c>
      <c r="P167" s="214">
        <v>-19878.063444638508</v>
      </c>
      <c r="Q167" s="214"/>
      <c r="R167" s="214"/>
      <c r="S167" s="214"/>
      <c r="T167" s="214"/>
      <c r="U167" s="214"/>
      <c r="V167" s="226"/>
      <c r="W167" s="281">
        <f>SUM(K167:V167)</f>
        <v>187013.73482111038</v>
      </c>
      <c r="X167" s="205">
        <f t="shared" si="44"/>
        <v>187013.73482111038</v>
      </c>
      <c r="Y167" s="1" t="s">
        <v>1965</v>
      </c>
      <c r="Z167" s="211"/>
      <c r="AA167" s="218" t="s">
        <v>1972</v>
      </c>
      <c r="AB167">
        <v>1</v>
      </c>
    </row>
    <row r="168" spans="1:28" ht="15.75" hidden="1" customHeight="1">
      <c r="A168" s="193">
        <v>165</v>
      </c>
      <c r="B168" s="210" t="s">
        <v>5</v>
      </c>
      <c r="C168" s="289" t="s">
        <v>1948</v>
      </c>
      <c r="D168" s="289" t="s">
        <v>1974</v>
      </c>
      <c r="E168" s="358" t="s">
        <v>21</v>
      </c>
      <c r="F168" s="289" t="s">
        <v>1979</v>
      </c>
      <c r="G168" s="342" t="s">
        <v>1970</v>
      </c>
      <c r="H168" s="289" t="s">
        <v>1964</v>
      </c>
      <c r="I168" s="358"/>
      <c r="J168" s="359" t="s">
        <v>14</v>
      </c>
      <c r="K168" s="214">
        <v>170313.82329088214</v>
      </c>
      <c r="L168" s="214">
        <v>170313.82329088214</v>
      </c>
      <c r="M168" s="214">
        <v>170313.82329088214</v>
      </c>
      <c r="N168" s="214">
        <v>336764.04420374578</v>
      </c>
      <c r="O168" s="214">
        <v>210755.40064376735</v>
      </c>
      <c r="P168" s="214">
        <v>150435.75984624363</v>
      </c>
      <c r="Q168" s="214"/>
      <c r="R168" s="214"/>
      <c r="S168" s="214"/>
      <c r="T168" s="214"/>
      <c r="U168" s="214"/>
      <c r="V168" s="226"/>
      <c r="W168" s="282">
        <f>SUM(K168:V168)</f>
        <v>1208896.674566403</v>
      </c>
      <c r="X168" s="205">
        <f t="shared" si="44"/>
        <v>1208896.674566403</v>
      </c>
      <c r="Y168" s="1" t="s">
        <v>1965</v>
      </c>
      <c r="Z168" s="211"/>
      <c r="AA168" s="218" t="s">
        <v>1972</v>
      </c>
      <c r="AB168">
        <v>1</v>
      </c>
    </row>
    <row r="169" spans="1:28" ht="15.75" hidden="1" customHeight="1">
      <c r="A169" s="209">
        <v>166</v>
      </c>
      <c r="B169" s="210" t="s">
        <v>5</v>
      </c>
      <c r="C169" s="289" t="s">
        <v>1948</v>
      </c>
      <c r="D169" s="289" t="s">
        <v>1974</v>
      </c>
      <c r="E169" s="358" t="s">
        <v>21</v>
      </c>
      <c r="F169" s="289" t="s">
        <v>1979</v>
      </c>
      <c r="G169" s="342" t="s">
        <v>1970</v>
      </c>
      <c r="H169" s="289" t="s">
        <v>1964</v>
      </c>
      <c r="I169" s="358"/>
      <c r="J169" s="359" t="s">
        <v>25</v>
      </c>
      <c r="K169" s="214">
        <v>0</v>
      </c>
      <c r="L169" s="214">
        <v>0</v>
      </c>
      <c r="M169" s="214">
        <v>0</v>
      </c>
      <c r="N169" s="214">
        <v>14.509063444108762</v>
      </c>
      <c r="O169" s="214">
        <v>18.559006211180126</v>
      </c>
      <c r="P169" s="214">
        <v>0.59493670886075944</v>
      </c>
      <c r="Q169" s="214"/>
      <c r="R169" s="214"/>
      <c r="S169" s="214"/>
      <c r="T169" s="214"/>
      <c r="U169" s="214"/>
      <c r="V169" s="226"/>
      <c r="W169" s="282">
        <f>IF(W165=0,0,IF(W164=0,0,W165/W164))</f>
        <v>16.862903225806452</v>
      </c>
      <c r="X169" s="365">
        <f t="shared" si="44"/>
        <v>33.663006364149645</v>
      </c>
      <c r="Y169" s="1" t="s">
        <v>1965</v>
      </c>
      <c r="Z169" s="211"/>
      <c r="AA169" s="218" t="s">
        <v>1972</v>
      </c>
      <c r="AB169">
        <v>2</v>
      </c>
    </row>
    <row r="170" spans="1:28" ht="15.75" hidden="1" customHeight="1" thickBot="1">
      <c r="A170" s="249">
        <v>167</v>
      </c>
      <c r="B170" s="250" t="s">
        <v>5</v>
      </c>
      <c r="C170" s="290" t="s">
        <v>1948</v>
      </c>
      <c r="D170" s="290" t="s">
        <v>1974</v>
      </c>
      <c r="E170" s="362" t="s">
        <v>21</v>
      </c>
      <c r="F170" s="290" t="s">
        <v>1979</v>
      </c>
      <c r="G170" s="363" t="s">
        <v>1970</v>
      </c>
      <c r="H170" s="290" t="s">
        <v>1964</v>
      </c>
      <c r="I170" s="362"/>
      <c r="J170" s="252" t="s">
        <v>16</v>
      </c>
      <c r="K170" s="253">
        <v>0</v>
      </c>
      <c r="L170" s="253">
        <v>0</v>
      </c>
      <c r="M170" s="253">
        <v>0</v>
      </c>
      <c r="N170" s="253">
        <v>35.061326830166138</v>
      </c>
      <c r="O170" s="253">
        <v>70.533935958422802</v>
      </c>
      <c r="P170" s="253">
        <v>-3200.7608477924177</v>
      </c>
      <c r="Q170" s="253"/>
      <c r="R170" s="253"/>
      <c r="S170" s="253"/>
      <c r="T170" s="253"/>
      <c r="U170" s="253"/>
      <c r="V170" s="253"/>
      <c r="W170" s="256">
        <f>IF(W168=0,0,IF(W165=0,0,W168/W165))</f>
        <v>96.357139691248449</v>
      </c>
      <c r="X170" s="299">
        <f>IF(X168=0,0,IF(X165=0,0,X168/X165))</f>
        <v>96.357139691248449</v>
      </c>
      <c r="Y170" s="251" t="s">
        <v>1965</v>
      </c>
      <c r="Z170" s="234"/>
      <c r="AA170" s="235" t="s">
        <v>1972</v>
      </c>
      <c r="AB170">
        <v>2</v>
      </c>
    </row>
    <row r="171" spans="1:28" ht="15.75" hidden="1" customHeight="1">
      <c r="A171" s="193">
        <v>168</v>
      </c>
      <c r="B171" s="194" t="s">
        <v>5</v>
      </c>
      <c r="C171" s="353" t="s">
        <v>1943</v>
      </c>
      <c r="D171" s="353" t="s">
        <v>1976</v>
      </c>
      <c r="E171" s="354" t="s">
        <v>21</v>
      </c>
      <c r="F171" s="353" t="s">
        <v>1975</v>
      </c>
      <c r="G171" s="355" t="s">
        <v>1980</v>
      </c>
      <c r="H171" s="353" t="s">
        <v>1967</v>
      </c>
      <c r="I171" s="354"/>
      <c r="J171" s="356" t="s">
        <v>10</v>
      </c>
      <c r="K171" s="201">
        <v>2814.3095400000002</v>
      </c>
      <c r="L171" s="201">
        <v>6063.8634000000002</v>
      </c>
      <c r="M171" s="201">
        <v>3979.2034800000006</v>
      </c>
      <c r="N171" s="201">
        <v>3453.72615</v>
      </c>
      <c r="O171" s="201">
        <v>3619.1106000000009</v>
      </c>
      <c r="P171" s="201">
        <v>4814.3075400000016</v>
      </c>
      <c r="Q171" s="201"/>
      <c r="R171" s="201"/>
      <c r="S171" s="201"/>
      <c r="T171" s="201"/>
      <c r="U171" s="201"/>
      <c r="V171" s="224"/>
      <c r="W171" s="281">
        <f>SUM(K171:V171)</f>
        <v>24744.520710000004</v>
      </c>
      <c r="X171" s="205">
        <f>SUM(K171:P171)</f>
        <v>24744.520710000004</v>
      </c>
      <c r="Y171" s="4" t="s">
        <v>1965</v>
      </c>
      <c r="Z171" s="197"/>
      <c r="AA171" s="207"/>
      <c r="AB171">
        <v>1</v>
      </c>
    </row>
    <row r="172" spans="1:28" ht="15.75" hidden="1" customHeight="1">
      <c r="A172" s="193">
        <v>169</v>
      </c>
      <c r="B172" s="210" t="s">
        <v>5</v>
      </c>
      <c r="C172" s="289" t="s">
        <v>1943</v>
      </c>
      <c r="D172" s="289" t="s">
        <v>1976</v>
      </c>
      <c r="E172" s="358" t="s">
        <v>21</v>
      </c>
      <c r="F172" s="289" t="s">
        <v>1975</v>
      </c>
      <c r="G172" s="342" t="s">
        <v>1980</v>
      </c>
      <c r="H172" s="289" t="s">
        <v>1967</v>
      </c>
      <c r="I172" s="358"/>
      <c r="J172" s="359" t="s">
        <v>14</v>
      </c>
      <c r="K172" s="214">
        <f t="shared" ref="K172:P172" si="45">K171*60</f>
        <v>168858.5724</v>
      </c>
      <c r="L172" s="214">
        <f t="shared" si="45"/>
        <v>363831.804</v>
      </c>
      <c r="M172" s="214">
        <f t="shared" si="45"/>
        <v>238752.20880000002</v>
      </c>
      <c r="N172" s="214">
        <f t="shared" si="45"/>
        <v>207223.56899999999</v>
      </c>
      <c r="O172" s="214">
        <f t="shared" si="45"/>
        <v>217146.63600000006</v>
      </c>
      <c r="P172" s="214">
        <f t="shared" si="45"/>
        <v>288858.45240000007</v>
      </c>
      <c r="Q172" s="214"/>
      <c r="R172" s="214"/>
      <c r="S172" s="214"/>
      <c r="T172" s="214"/>
      <c r="U172" s="214"/>
      <c r="V172" s="226"/>
      <c r="W172" s="281">
        <f>SUM(K172:V172)</f>
        <v>1484671.2426000002</v>
      </c>
      <c r="X172" s="205">
        <f>SUM(K172:P172)</f>
        <v>1484671.2426000002</v>
      </c>
      <c r="Y172" s="212" t="s">
        <v>1965</v>
      </c>
      <c r="Z172" s="211"/>
      <c r="AA172" s="218"/>
      <c r="AB172">
        <v>1</v>
      </c>
    </row>
    <row r="173" spans="1:28" ht="15.75" hidden="1" customHeight="1" thickBot="1">
      <c r="A173" s="367">
        <v>170</v>
      </c>
      <c r="B173" s="230" t="s">
        <v>5</v>
      </c>
      <c r="C173" s="368" t="s">
        <v>1943</v>
      </c>
      <c r="D173" s="368" t="s">
        <v>1976</v>
      </c>
      <c r="E173" s="369" t="s">
        <v>21</v>
      </c>
      <c r="F173" s="368" t="s">
        <v>1975</v>
      </c>
      <c r="G173" s="370" t="s">
        <v>1980</v>
      </c>
      <c r="H173" s="368" t="s">
        <v>1967</v>
      </c>
      <c r="I173" s="369"/>
      <c r="J173" s="252" t="s">
        <v>16</v>
      </c>
      <c r="K173" s="253">
        <f>K172/K171</f>
        <v>60</v>
      </c>
      <c r="L173" s="253">
        <f t="shared" ref="L173:V173" si="46">L172/L171</f>
        <v>60</v>
      </c>
      <c r="M173" s="253">
        <f t="shared" si="46"/>
        <v>60</v>
      </c>
      <c r="N173" s="253">
        <f t="shared" si="46"/>
        <v>60</v>
      </c>
      <c r="O173" s="253">
        <f t="shared" si="46"/>
        <v>60</v>
      </c>
      <c r="P173" s="253">
        <f t="shared" si="46"/>
        <v>59.999999999999993</v>
      </c>
      <c r="Q173" s="253" t="e">
        <f t="shared" si="46"/>
        <v>#DIV/0!</v>
      </c>
      <c r="R173" s="253" t="e">
        <f t="shared" si="46"/>
        <v>#DIV/0!</v>
      </c>
      <c r="S173" s="253" t="e">
        <f t="shared" si="46"/>
        <v>#DIV/0!</v>
      </c>
      <c r="T173" s="253" t="e">
        <f t="shared" si="46"/>
        <v>#DIV/0!</v>
      </c>
      <c r="U173" s="253" t="e">
        <f t="shared" si="46"/>
        <v>#DIV/0!</v>
      </c>
      <c r="V173" s="253" t="e">
        <f t="shared" si="46"/>
        <v>#DIV/0!</v>
      </c>
      <c r="W173" s="256">
        <f>IF(W172=0,0,IF(W171=0,0,W172/W171))</f>
        <v>60</v>
      </c>
      <c r="X173" s="256">
        <f>IF(X172=0,0,IF(X171=0,0,X172/X171))</f>
        <v>60</v>
      </c>
      <c r="Y173" s="3" t="s">
        <v>1965</v>
      </c>
      <c r="Z173" s="2"/>
      <c r="AA173" s="258"/>
      <c r="AB173">
        <v>2</v>
      </c>
    </row>
    <row r="174" spans="1:28" ht="15.75" hidden="1" customHeight="1">
      <c r="A174" s="236">
        <v>171</v>
      </c>
      <c r="B174" s="237" t="s">
        <v>5</v>
      </c>
      <c r="C174" s="284" t="s">
        <v>1943</v>
      </c>
      <c r="D174" s="284" t="s">
        <v>1976</v>
      </c>
      <c r="E174" s="336" t="s">
        <v>21</v>
      </c>
      <c r="F174" s="284" t="s">
        <v>1975</v>
      </c>
      <c r="G174" s="335" t="s">
        <v>1980</v>
      </c>
      <c r="H174" s="284" t="s">
        <v>1964</v>
      </c>
      <c r="I174" s="336"/>
      <c r="J174" s="238" t="s">
        <v>9</v>
      </c>
      <c r="K174" s="239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87"/>
      <c r="W174" s="338">
        <f>SUM(K174:V174)</f>
        <v>0</v>
      </c>
      <c r="X174" s="205">
        <f t="shared" ref="X174:X179" si="47">SUM(K174:P174)</f>
        <v>0</v>
      </c>
      <c r="Y174" s="198" t="s">
        <v>1965</v>
      </c>
      <c r="Z174" s="199"/>
      <c r="AA174" s="244"/>
      <c r="AB174">
        <v>1</v>
      </c>
    </row>
    <row r="175" spans="1:28" ht="15.75" hidden="1" customHeight="1">
      <c r="A175" s="209">
        <v>172</v>
      </c>
      <c r="B175" s="194" t="s">
        <v>5</v>
      </c>
      <c r="C175" s="353" t="s">
        <v>1943</v>
      </c>
      <c r="D175" s="353" t="s">
        <v>1976</v>
      </c>
      <c r="E175" s="354" t="s">
        <v>21</v>
      </c>
      <c r="F175" s="353" t="s">
        <v>1975</v>
      </c>
      <c r="G175" s="355" t="s">
        <v>1980</v>
      </c>
      <c r="H175" s="353" t="s">
        <v>1964</v>
      </c>
      <c r="I175" s="354"/>
      <c r="J175" s="356" t="s">
        <v>10</v>
      </c>
      <c r="K175" s="201">
        <v>1780.5576600000002</v>
      </c>
      <c r="L175" s="201">
        <v>3373.9826400000011</v>
      </c>
      <c r="M175" s="201">
        <v>3350.3463000000006</v>
      </c>
      <c r="N175" s="201">
        <v>2709.4611600000007</v>
      </c>
      <c r="O175" s="201">
        <v>1614.9867300000003</v>
      </c>
      <c r="P175" s="201">
        <v>2923.4935800000003</v>
      </c>
      <c r="Q175" s="201"/>
      <c r="R175" s="201"/>
      <c r="S175" s="201"/>
      <c r="T175" s="201"/>
      <c r="U175" s="201"/>
      <c r="V175" s="224"/>
      <c r="W175" s="281">
        <f>SUM(K175:V175)</f>
        <v>15752.828070000003</v>
      </c>
      <c r="X175" s="205">
        <f t="shared" si="47"/>
        <v>15752.828070000003</v>
      </c>
      <c r="Y175" s="4" t="s">
        <v>1965</v>
      </c>
      <c r="Z175" s="197"/>
      <c r="AA175" s="207"/>
      <c r="AB175">
        <v>1</v>
      </c>
    </row>
    <row r="176" spans="1:28" ht="15.75" hidden="1" customHeight="1">
      <c r="A176" s="193">
        <v>173</v>
      </c>
      <c r="B176" s="210" t="s">
        <v>5</v>
      </c>
      <c r="C176" s="289" t="s">
        <v>1943</v>
      </c>
      <c r="D176" s="289" t="s">
        <v>1976</v>
      </c>
      <c r="E176" s="358" t="s">
        <v>21</v>
      </c>
      <c r="F176" s="289" t="s">
        <v>1975</v>
      </c>
      <c r="G176" s="342" t="s">
        <v>1980</v>
      </c>
      <c r="H176" s="289" t="s">
        <v>1964</v>
      </c>
      <c r="I176" s="358"/>
      <c r="J176" s="359" t="s">
        <v>14</v>
      </c>
      <c r="K176" s="214">
        <v>112789</v>
      </c>
      <c r="L176" s="214">
        <v>190079.25</v>
      </c>
      <c r="M176" s="214">
        <v>181372.5</v>
      </c>
      <c r="N176" s="214">
        <v>187179</v>
      </c>
      <c r="O176" s="214">
        <v>143283</v>
      </c>
      <c r="P176" s="214">
        <v>193408</v>
      </c>
      <c r="Q176" s="214"/>
      <c r="R176" s="214"/>
      <c r="S176" s="214"/>
      <c r="T176" s="214"/>
      <c r="U176" s="214"/>
      <c r="V176" s="226"/>
      <c r="W176" s="281">
        <f>SUM(K176:V176)</f>
        <v>1008110.75</v>
      </c>
      <c r="X176" s="205">
        <f t="shared" si="47"/>
        <v>1008110.75</v>
      </c>
      <c r="Y176" s="212" t="s">
        <v>1965</v>
      </c>
      <c r="Z176" s="211"/>
      <c r="AA176" s="218"/>
      <c r="AB176">
        <v>1</v>
      </c>
    </row>
    <row r="177" spans="1:33" ht="15.75" hidden="1" customHeight="1" thickBot="1">
      <c r="A177" s="249">
        <v>174</v>
      </c>
      <c r="B177" s="250" t="s">
        <v>5</v>
      </c>
      <c r="C177" s="290" t="s">
        <v>1943</v>
      </c>
      <c r="D177" s="290" t="s">
        <v>1976</v>
      </c>
      <c r="E177" s="362" t="s">
        <v>21</v>
      </c>
      <c r="F177" s="290" t="s">
        <v>1975</v>
      </c>
      <c r="G177" s="363" t="s">
        <v>1980</v>
      </c>
      <c r="H177" s="290" t="s">
        <v>1964</v>
      </c>
      <c r="I177" s="362"/>
      <c r="J177" s="252" t="s">
        <v>16</v>
      </c>
      <c r="K177" s="253">
        <f>K176/K175</f>
        <v>63.344761326066795</v>
      </c>
      <c r="L177" s="253">
        <f t="shared" ref="L177:V177" si="48">L176/L175</f>
        <v>56.336759930691265</v>
      </c>
      <c r="M177" s="253">
        <f t="shared" si="48"/>
        <v>54.135448625116744</v>
      </c>
      <c r="N177" s="253">
        <f t="shared" si="48"/>
        <v>69.083477838080526</v>
      </c>
      <c r="O177" s="253">
        <f t="shared" si="48"/>
        <v>88.720852833261347</v>
      </c>
      <c r="P177" s="253">
        <f t="shared" si="48"/>
        <v>66.156464759536078</v>
      </c>
      <c r="Q177" s="253" t="e">
        <f t="shared" si="48"/>
        <v>#DIV/0!</v>
      </c>
      <c r="R177" s="253" t="e">
        <f t="shared" si="48"/>
        <v>#DIV/0!</v>
      </c>
      <c r="S177" s="253" t="e">
        <f t="shared" si="48"/>
        <v>#DIV/0!</v>
      </c>
      <c r="T177" s="253" t="e">
        <f t="shared" si="48"/>
        <v>#DIV/0!</v>
      </c>
      <c r="U177" s="253" t="e">
        <f t="shared" si="48"/>
        <v>#DIV/0!</v>
      </c>
      <c r="V177" s="253" t="e">
        <f t="shared" si="48"/>
        <v>#DIV/0!</v>
      </c>
      <c r="W177" s="256">
        <f>IF(W176=0,0,IF(W175=0,0,W176/W175))</f>
        <v>63.995540706742432</v>
      </c>
      <c r="X177" s="299">
        <f t="shared" si="47"/>
        <v>397.77776531275276</v>
      </c>
      <c r="Y177" s="266" t="s">
        <v>1965</v>
      </c>
      <c r="Z177" s="234"/>
      <c r="AA177" s="235"/>
      <c r="AB177">
        <v>2</v>
      </c>
    </row>
    <row r="178" spans="1:33" ht="15.75" hidden="1" customHeight="1">
      <c r="A178" s="193">
        <v>175</v>
      </c>
      <c r="B178" s="194" t="s">
        <v>5</v>
      </c>
      <c r="C178" s="353" t="s">
        <v>1948</v>
      </c>
      <c r="D178" s="353"/>
      <c r="E178" s="354" t="s">
        <v>21</v>
      </c>
      <c r="F178" s="353" t="s">
        <v>1979</v>
      </c>
      <c r="G178" s="355" t="s">
        <v>1980</v>
      </c>
      <c r="H178" s="353" t="s">
        <v>1964</v>
      </c>
      <c r="I178" s="354"/>
      <c r="J178" s="356" t="s">
        <v>10</v>
      </c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24"/>
      <c r="W178" s="281">
        <f>SUM(K178:V178)</f>
        <v>0</v>
      </c>
      <c r="X178" s="205">
        <f t="shared" si="47"/>
        <v>0</v>
      </c>
      <c r="Y178" s="195" t="s">
        <v>1965</v>
      </c>
      <c r="Z178" s="197"/>
      <c r="AA178" s="207"/>
      <c r="AB178">
        <v>1</v>
      </c>
    </row>
    <row r="179" spans="1:33" ht="15.75" hidden="1" customHeight="1">
      <c r="A179" s="209">
        <v>176</v>
      </c>
      <c r="B179" s="210" t="s">
        <v>5</v>
      </c>
      <c r="C179" s="289" t="s">
        <v>1948</v>
      </c>
      <c r="D179" s="289"/>
      <c r="E179" s="358" t="s">
        <v>21</v>
      </c>
      <c r="F179" s="289" t="s">
        <v>1979</v>
      </c>
      <c r="G179" s="342" t="s">
        <v>1980</v>
      </c>
      <c r="H179" s="289" t="s">
        <v>1964</v>
      </c>
      <c r="I179" s="358"/>
      <c r="J179" s="359" t="s">
        <v>14</v>
      </c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26"/>
      <c r="W179" s="281">
        <f>SUM(K179:V179)</f>
        <v>0</v>
      </c>
      <c r="X179" s="205">
        <f t="shared" si="47"/>
        <v>0</v>
      </c>
      <c r="Y179" s="1" t="s">
        <v>1965</v>
      </c>
      <c r="Z179" s="275"/>
      <c r="AA179" s="218"/>
      <c r="AB179">
        <v>1</v>
      </c>
    </row>
    <row r="180" spans="1:33" ht="15.75" hidden="1" customHeight="1" thickBot="1">
      <c r="A180" s="193">
        <v>177</v>
      </c>
      <c r="B180" s="250" t="s">
        <v>5</v>
      </c>
      <c r="C180" s="290" t="s">
        <v>1948</v>
      </c>
      <c r="D180" s="290"/>
      <c r="E180" s="362" t="s">
        <v>21</v>
      </c>
      <c r="F180" s="290" t="s">
        <v>1979</v>
      </c>
      <c r="G180" s="363" t="s">
        <v>1980</v>
      </c>
      <c r="H180" s="290" t="s">
        <v>1964</v>
      </c>
      <c r="I180" s="362"/>
      <c r="J180" s="252" t="s">
        <v>16</v>
      </c>
      <c r="K180" s="253">
        <f t="shared" ref="K180:X180" si="49">IF(K179=0,0,IF(K178=0,0,K179/K178))</f>
        <v>0</v>
      </c>
      <c r="L180" s="253">
        <f t="shared" si="49"/>
        <v>0</v>
      </c>
      <c r="M180" s="253">
        <f t="shared" si="49"/>
        <v>0</v>
      </c>
      <c r="N180" s="253">
        <f t="shared" si="49"/>
        <v>0</v>
      </c>
      <c r="O180" s="253">
        <f t="shared" si="49"/>
        <v>0</v>
      </c>
      <c r="P180" s="253">
        <f t="shared" si="49"/>
        <v>0</v>
      </c>
      <c r="Q180" s="253">
        <f t="shared" si="49"/>
        <v>0</v>
      </c>
      <c r="R180" s="253">
        <f t="shared" si="49"/>
        <v>0</v>
      </c>
      <c r="S180" s="253">
        <f t="shared" si="49"/>
        <v>0</v>
      </c>
      <c r="T180" s="253">
        <f t="shared" si="49"/>
        <v>0</v>
      </c>
      <c r="U180" s="253">
        <f t="shared" si="49"/>
        <v>0</v>
      </c>
      <c r="V180" s="253">
        <f t="shared" si="49"/>
        <v>0</v>
      </c>
      <c r="W180" s="256">
        <f t="shared" si="49"/>
        <v>0</v>
      </c>
      <c r="X180" s="299">
        <f t="shared" si="49"/>
        <v>0</v>
      </c>
      <c r="Y180" s="251" t="s">
        <v>1965</v>
      </c>
      <c r="Z180" s="279"/>
      <c r="AA180" s="235"/>
      <c r="AB180">
        <v>2</v>
      </c>
    </row>
    <row r="181" spans="1:33" ht="15.75" hidden="1" customHeight="1" thickBot="1">
      <c r="A181" s="193">
        <v>181</v>
      </c>
      <c r="B181" s="371" t="s">
        <v>26</v>
      </c>
      <c r="C181" s="372" t="s">
        <v>1931</v>
      </c>
      <c r="D181" s="372"/>
      <c r="E181" s="373" t="s">
        <v>6</v>
      </c>
      <c r="F181" s="372" t="s">
        <v>7</v>
      </c>
      <c r="G181" s="374"/>
      <c r="H181" s="372"/>
      <c r="I181" s="373"/>
      <c r="J181" s="375" t="s">
        <v>1947</v>
      </c>
      <c r="K181" s="376"/>
      <c r="L181" s="376"/>
      <c r="M181" s="376"/>
      <c r="N181" s="376"/>
      <c r="O181" s="376"/>
      <c r="P181" s="376"/>
      <c r="Q181" s="376"/>
      <c r="R181" s="376"/>
      <c r="S181" s="376"/>
      <c r="T181" s="376"/>
      <c r="U181" s="376"/>
      <c r="V181" s="377"/>
      <c r="W181" s="378">
        <f>SUM(K181:V181)</f>
        <v>0</v>
      </c>
      <c r="X181" s="205">
        <f>SUM(K181:P181)</f>
        <v>0</v>
      </c>
      <c r="Y181" s="251" t="s">
        <v>1965</v>
      </c>
      <c r="Z181" s="286"/>
      <c r="AA181" s="244"/>
      <c r="AB181">
        <v>1</v>
      </c>
    </row>
    <row r="182" spans="1:33" ht="15.75" hidden="1" customHeight="1" thickBot="1">
      <c r="A182" s="209">
        <v>182</v>
      </c>
      <c r="B182" s="379" t="s">
        <v>26</v>
      </c>
      <c r="C182" s="380" t="s">
        <v>1931</v>
      </c>
      <c r="D182" s="380"/>
      <c r="E182" s="381" t="s">
        <v>6</v>
      </c>
      <c r="F182" s="380" t="s">
        <v>7</v>
      </c>
      <c r="G182" s="382"/>
      <c r="H182" s="380"/>
      <c r="I182" s="381"/>
      <c r="J182" s="383" t="s">
        <v>9</v>
      </c>
      <c r="K182" s="384"/>
      <c r="L182" s="384"/>
      <c r="M182" s="384"/>
      <c r="N182" s="384"/>
      <c r="O182" s="384"/>
      <c r="P182" s="384"/>
      <c r="Q182" s="384"/>
      <c r="R182" s="384"/>
      <c r="S182" s="384"/>
      <c r="T182" s="384"/>
      <c r="U182" s="384"/>
      <c r="V182" s="385"/>
      <c r="W182" s="386">
        <v>158</v>
      </c>
      <c r="X182" s="205">
        <f>SUM(K182:P182)</f>
        <v>0</v>
      </c>
      <c r="Y182" s="251" t="s">
        <v>1965</v>
      </c>
      <c r="Z182" s="275"/>
      <c r="AA182" s="218"/>
      <c r="AB182">
        <v>1</v>
      </c>
      <c r="AF182">
        <v>1100</v>
      </c>
    </row>
    <row r="183" spans="1:33" ht="15.75" hidden="1" customHeight="1" thickBot="1">
      <c r="A183" s="209">
        <v>183</v>
      </c>
      <c r="B183" s="379" t="s">
        <v>26</v>
      </c>
      <c r="C183" s="380" t="s">
        <v>1931</v>
      </c>
      <c r="D183" s="380"/>
      <c r="E183" s="381" t="s">
        <v>6</v>
      </c>
      <c r="F183" s="380" t="s">
        <v>7</v>
      </c>
      <c r="G183" s="382"/>
      <c r="H183" s="380"/>
      <c r="I183" s="381"/>
      <c r="J183" s="383" t="s">
        <v>10</v>
      </c>
      <c r="K183" s="384"/>
      <c r="L183" s="384"/>
      <c r="M183" s="384"/>
      <c r="N183" s="384"/>
      <c r="O183" s="384"/>
      <c r="P183" s="384"/>
      <c r="Q183" s="384"/>
      <c r="R183" s="384"/>
      <c r="S183" s="384"/>
      <c r="T183" s="384"/>
      <c r="U183" s="384"/>
      <c r="V183" s="385"/>
      <c r="W183" s="387">
        <v>173244</v>
      </c>
      <c r="X183" s="205">
        <f t="shared" ref="X183:X246" si="50">SUM(K183:P183)</f>
        <v>0</v>
      </c>
      <c r="Y183" s="251" t="s">
        <v>1965</v>
      </c>
      <c r="Z183" s="275"/>
      <c r="AA183" s="218"/>
      <c r="AB183">
        <v>1</v>
      </c>
      <c r="AF183">
        <v>12</v>
      </c>
    </row>
    <row r="184" spans="1:33" ht="15.75" hidden="1" customHeight="1" thickBot="1">
      <c r="A184" s="209">
        <v>184</v>
      </c>
      <c r="B184" s="379" t="s">
        <v>26</v>
      </c>
      <c r="C184" s="380" t="s">
        <v>1931</v>
      </c>
      <c r="D184" s="380"/>
      <c r="E184" s="381" t="s">
        <v>6</v>
      </c>
      <c r="F184" s="380" t="s">
        <v>7</v>
      </c>
      <c r="G184" s="382"/>
      <c r="H184" s="380"/>
      <c r="I184" s="381"/>
      <c r="J184" s="383" t="s">
        <v>11</v>
      </c>
      <c r="K184" s="384"/>
      <c r="L184" s="384"/>
      <c r="M184" s="384"/>
      <c r="N184" s="384"/>
      <c r="O184" s="384"/>
      <c r="P184" s="384"/>
      <c r="Q184" s="384"/>
      <c r="R184" s="384"/>
      <c r="S184" s="384"/>
      <c r="T184" s="384"/>
      <c r="U184" s="384"/>
      <c r="V184" s="385"/>
      <c r="W184" s="387">
        <v>3415000</v>
      </c>
      <c r="X184" s="205">
        <f t="shared" si="50"/>
        <v>0</v>
      </c>
      <c r="Y184" s="251" t="s">
        <v>1965</v>
      </c>
      <c r="Z184" s="275"/>
      <c r="AA184" s="218"/>
      <c r="AB184">
        <v>1</v>
      </c>
      <c r="AF184">
        <v>12</v>
      </c>
    </row>
    <row r="185" spans="1:33" ht="15.75" hidden="1" customHeight="1" thickBot="1">
      <c r="A185" s="193">
        <v>185</v>
      </c>
      <c r="B185" s="379" t="s">
        <v>26</v>
      </c>
      <c r="C185" s="380" t="s">
        <v>1931</v>
      </c>
      <c r="D185" s="380"/>
      <c r="E185" s="381" t="s">
        <v>6</v>
      </c>
      <c r="F185" s="380" t="s">
        <v>7</v>
      </c>
      <c r="G185" s="382"/>
      <c r="H185" s="380"/>
      <c r="I185" s="381"/>
      <c r="J185" s="383" t="s">
        <v>1981</v>
      </c>
      <c r="K185" s="384"/>
      <c r="L185" s="384"/>
      <c r="M185" s="384"/>
      <c r="N185" s="384"/>
      <c r="O185" s="384"/>
      <c r="P185" s="384"/>
      <c r="Q185" s="384"/>
      <c r="R185" s="384"/>
      <c r="S185" s="384"/>
      <c r="T185" s="384"/>
      <c r="U185" s="384"/>
      <c r="V185" s="385"/>
      <c r="W185" s="386">
        <f>SUM(K185:V185)</f>
        <v>0</v>
      </c>
      <c r="X185" s="205">
        <f t="shared" si="50"/>
        <v>0</v>
      </c>
      <c r="Y185" s="251" t="s">
        <v>1965</v>
      </c>
      <c r="Z185" s="275"/>
      <c r="AA185" s="218"/>
      <c r="AB185">
        <v>1</v>
      </c>
    </row>
    <row r="186" spans="1:33" ht="15.75" hidden="1" customHeight="1" thickBot="1">
      <c r="A186" s="209">
        <v>186</v>
      </c>
      <c r="B186" s="379" t="s">
        <v>26</v>
      </c>
      <c r="C186" s="380" t="s">
        <v>1931</v>
      </c>
      <c r="D186" s="380"/>
      <c r="E186" s="381" t="s">
        <v>6</v>
      </c>
      <c r="F186" s="380" t="s">
        <v>7</v>
      </c>
      <c r="G186" s="382"/>
      <c r="H186" s="380"/>
      <c r="I186" s="381"/>
      <c r="J186" s="219" t="s">
        <v>13</v>
      </c>
      <c r="K186" s="384"/>
      <c r="L186" s="384"/>
      <c r="M186" s="384"/>
      <c r="N186" s="384"/>
      <c r="O186" s="384"/>
      <c r="P186" s="384"/>
      <c r="Q186" s="384"/>
      <c r="R186" s="384"/>
      <c r="S186" s="384"/>
      <c r="T186" s="384"/>
      <c r="U186" s="384"/>
      <c r="V186" s="384"/>
      <c r="W186" s="386">
        <v>346000</v>
      </c>
      <c r="X186" s="205">
        <f t="shared" si="50"/>
        <v>0</v>
      </c>
      <c r="Y186" s="251" t="s">
        <v>1965</v>
      </c>
      <c r="Z186" s="275"/>
      <c r="AA186" s="218"/>
      <c r="AB186">
        <v>1</v>
      </c>
      <c r="AF186">
        <v>12</v>
      </c>
    </row>
    <row r="187" spans="1:33" ht="15.75" hidden="1" customHeight="1" thickBot="1">
      <c r="A187" s="209">
        <v>186</v>
      </c>
      <c r="B187" s="379" t="s">
        <v>26</v>
      </c>
      <c r="C187" s="380" t="s">
        <v>1931</v>
      </c>
      <c r="D187" s="380"/>
      <c r="E187" s="381" t="s">
        <v>6</v>
      </c>
      <c r="F187" s="380" t="s">
        <v>7</v>
      </c>
      <c r="G187" s="382"/>
      <c r="H187" s="380"/>
      <c r="I187" s="381"/>
      <c r="J187" s="213" t="s">
        <v>14</v>
      </c>
      <c r="K187" s="384"/>
      <c r="L187" s="384"/>
      <c r="M187" s="384"/>
      <c r="N187" s="384"/>
      <c r="O187" s="384"/>
      <c r="P187" s="384"/>
      <c r="Q187" s="384"/>
      <c r="R187" s="384"/>
      <c r="S187" s="384"/>
      <c r="T187" s="384"/>
      <c r="U187" s="384"/>
      <c r="V187" s="384"/>
      <c r="W187" s="384">
        <f>W184+W186</f>
        <v>3761000</v>
      </c>
      <c r="X187" s="205">
        <f t="shared" si="50"/>
        <v>0</v>
      </c>
      <c r="Y187" s="251"/>
      <c r="Z187" s="275"/>
      <c r="AA187" s="218"/>
      <c r="AB187">
        <v>1</v>
      </c>
    </row>
    <row r="188" spans="1:33" ht="15.75" hidden="1" customHeight="1" thickBot="1">
      <c r="A188" s="209">
        <v>187</v>
      </c>
      <c r="B188" s="379" t="s">
        <v>26</v>
      </c>
      <c r="C188" s="380" t="s">
        <v>1931</v>
      </c>
      <c r="D188" s="380"/>
      <c r="E188" s="381" t="s">
        <v>6</v>
      </c>
      <c r="F188" s="380" t="s">
        <v>7</v>
      </c>
      <c r="G188" s="382"/>
      <c r="H188" s="380"/>
      <c r="I188" s="381"/>
      <c r="J188" s="383" t="s">
        <v>15</v>
      </c>
      <c r="K188" s="384"/>
      <c r="L188" s="384"/>
      <c r="M188" s="384"/>
      <c r="N188" s="384"/>
      <c r="O188" s="384"/>
      <c r="P188" s="384"/>
      <c r="Q188" s="384"/>
      <c r="R188" s="384"/>
      <c r="S188" s="384"/>
      <c r="T188" s="384"/>
      <c r="U188" s="384"/>
      <c r="V188" s="385"/>
      <c r="W188" s="386">
        <f>W183/W182</f>
        <v>1096.4810126582279</v>
      </c>
      <c r="X188" s="388">
        <f t="shared" si="50"/>
        <v>0</v>
      </c>
      <c r="Y188" s="251" t="s">
        <v>1965</v>
      </c>
      <c r="Z188" s="275"/>
      <c r="AA188" s="218"/>
      <c r="AB188">
        <v>2</v>
      </c>
    </row>
    <row r="189" spans="1:33" ht="15.75" hidden="1" customHeight="1" thickBot="1">
      <c r="A189" s="209">
        <v>188</v>
      </c>
      <c r="B189" s="389" t="s">
        <v>26</v>
      </c>
      <c r="C189" s="390" t="s">
        <v>1931</v>
      </c>
      <c r="D189" s="390"/>
      <c r="E189" s="391" t="s">
        <v>6</v>
      </c>
      <c r="F189" s="390" t="s">
        <v>7</v>
      </c>
      <c r="G189" s="392"/>
      <c r="H189" s="390"/>
      <c r="I189" s="391"/>
      <c r="J189" s="393" t="s">
        <v>16</v>
      </c>
      <c r="K189" s="394"/>
      <c r="L189" s="394"/>
      <c r="M189" s="394"/>
      <c r="N189" s="394"/>
      <c r="O189" s="394"/>
      <c r="P189" s="394"/>
      <c r="Q189" s="394"/>
      <c r="R189" s="394"/>
      <c r="S189" s="394"/>
      <c r="T189" s="394"/>
      <c r="U189" s="394"/>
      <c r="V189" s="395"/>
      <c r="W189" s="396">
        <f>(W184+W186-W185)/W183</f>
        <v>21.709265544549883</v>
      </c>
      <c r="X189" s="397">
        <f t="shared" si="50"/>
        <v>0</v>
      </c>
      <c r="Y189" s="251" t="s">
        <v>1965</v>
      </c>
      <c r="Z189" s="279"/>
      <c r="AA189" s="235"/>
      <c r="AB189">
        <v>2</v>
      </c>
    </row>
    <row r="190" spans="1:33" ht="15.75" hidden="1" customHeight="1" thickBot="1">
      <c r="A190" s="193">
        <v>189</v>
      </c>
      <c r="B190" s="371" t="s">
        <v>26</v>
      </c>
      <c r="C190" s="372" t="s">
        <v>1931</v>
      </c>
      <c r="D190" s="372"/>
      <c r="E190" s="373" t="s">
        <v>1936</v>
      </c>
      <c r="F190" s="372" t="s">
        <v>1937</v>
      </c>
      <c r="G190" s="374"/>
      <c r="H190" s="372"/>
      <c r="I190" s="373"/>
      <c r="J190" s="375" t="s">
        <v>1947</v>
      </c>
      <c r="K190" s="376"/>
      <c r="L190" s="376"/>
      <c r="M190" s="376"/>
      <c r="N190" s="376"/>
      <c r="O190" s="376"/>
      <c r="P190" s="376"/>
      <c r="Q190" s="376"/>
      <c r="R190" s="376"/>
      <c r="S190" s="376"/>
      <c r="T190" s="376"/>
      <c r="U190" s="376"/>
      <c r="V190" s="377"/>
      <c r="W190" s="398">
        <f>SUM(K190:V190)</f>
        <v>0</v>
      </c>
      <c r="X190" s="205">
        <f t="shared" si="50"/>
        <v>0</v>
      </c>
      <c r="Y190" s="251" t="s">
        <v>1965</v>
      </c>
      <c r="Z190" s="286"/>
      <c r="AA190" s="244"/>
      <c r="AB190">
        <v>1</v>
      </c>
    </row>
    <row r="191" spans="1:33" ht="15.75" hidden="1" customHeight="1" thickBot="1">
      <c r="A191" s="209">
        <v>190</v>
      </c>
      <c r="B191" s="379" t="s">
        <v>26</v>
      </c>
      <c r="C191" s="380" t="s">
        <v>1931</v>
      </c>
      <c r="D191" s="380"/>
      <c r="E191" s="381" t="s">
        <v>1936</v>
      </c>
      <c r="F191" s="380" t="s">
        <v>1937</v>
      </c>
      <c r="G191" s="382"/>
      <c r="H191" s="380"/>
      <c r="I191" s="381"/>
      <c r="J191" s="383" t="s">
        <v>9</v>
      </c>
      <c r="K191" s="384">
        <f t="shared" ref="K191:V191" si="51">ROUND($K$192/$AF$191,0)</f>
        <v>36</v>
      </c>
      <c r="L191" s="384">
        <f t="shared" si="51"/>
        <v>36</v>
      </c>
      <c r="M191" s="384">
        <f t="shared" si="51"/>
        <v>36</v>
      </c>
      <c r="N191" s="384">
        <f t="shared" si="51"/>
        <v>36</v>
      </c>
      <c r="O191" s="384">
        <f t="shared" si="51"/>
        <v>36</v>
      </c>
      <c r="P191" s="384">
        <f t="shared" si="51"/>
        <v>36</v>
      </c>
      <c r="Q191" s="384">
        <f t="shared" si="51"/>
        <v>36</v>
      </c>
      <c r="R191" s="384">
        <f t="shared" si="51"/>
        <v>36</v>
      </c>
      <c r="S191" s="384">
        <f t="shared" si="51"/>
        <v>36</v>
      </c>
      <c r="T191" s="384">
        <f t="shared" si="51"/>
        <v>36</v>
      </c>
      <c r="U191" s="384">
        <f t="shared" si="51"/>
        <v>36</v>
      </c>
      <c r="V191" s="385">
        <f t="shared" si="51"/>
        <v>36</v>
      </c>
      <c r="W191" s="399">
        <f>SUM(K191:V191)</f>
        <v>432</v>
      </c>
      <c r="X191" s="205">
        <f t="shared" si="50"/>
        <v>216</v>
      </c>
      <c r="Y191" s="251" t="s">
        <v>1965</v>
      </c>
      <c r="Z191" s="275"/>
      <c r="AA191" s="218"/>
      <c r="AB191">
        <v>1</v>
      </c>
      <c r="AF191">
        <v>1100</v>
      </c>
    </row>
    <row r="192" spans="1:33" ht="15.75" hidden="1" customHeight="1" thickBot="1">
      <c r="A192" s="209">
        <v>191</v>
      </c>
      <c r="B192" s="379" t="s">
        <v>26</v>
      </c>
      <c r="C192" s="380" t="s">
        <v>1931</v>
      </c>
      <c r="D192" s="380"/>
      <c r="E192" s="381" t="s">
        <v>1936</v>
      </c>
      <c r="F192" s="380" t="s">
        <v>1937</v>
      </c>
      <c r="G192" s="382"/>
      <c r="H192" s="380"/>
      <c r="I192" s="381"/>
      <c r="J192" s="383" t="s">
        <v>10</v>
      </c>
      <c r="K192" s="384">
        <f>$W$192/$AF$192</f>
        <v>39179.60833333333</v>
      </c>
      <c r="L192" s="384">
        <f t="shared" ref="L192:V192" si="52">$W$192/$AF$192</f>
        <v>39179.60833333333</v>
      </c>
      <c r="M192" s="384">
        <f t="shared" si="52"/>
        <v>39179.60833333333</v>
      </c>
      <c r="N192" s="384">
        <f t="shared" si="52"/>
        <v>39179.60833333333</v>
      </c>
      <c r="O192" s="384">
        <f t="shared" si="52"/>
        <v>39179.60833333333</v>
      </c>
      <c r="P192" s="384">
        <f t="shared" si="52"/>
        <v>39179.60833333333</v>
      </c>
      <c r="Q192" s="384">
        <f t="shared" si="52"/>
        <v>39179.60833333333</v>
      </c>
      <c r="R192" s="384">
        <f t="shared" si="52"/>
        <v>39179.60833333333</v>
      </c>
      <c r="S192" s="384">
        <f t="shared" si="52"/>
        <v>39179.60833333333</v>
      </c>
      <c r="T192" s="384">
        <f t="shared" si="52"/>
        <v>39179.60833333333</v>
      </c>
      <c r="U192" s="384">
        <f t="shared" si="52"/>
        <v>39179.60833333333</v>
      </c>
      <c r="V192" s="384">
        <f t="shared" si="52"/>
        <v>39179.60833333333</v>
      </c>
      <c r="W192" s="399">
        <f>758315*0.62</f>
        <v>470155.3</v>
      </c>
      <c r="X192" s="205">
        <f t="shared" si="50"/>
        <v>235077.65</v>
      </c>
      <c r="Y192" s="251" t="s">
        <v>1965</v>
      </c>
      <c r="Z192" s="275"/>
      <c r="AA192" s="218"/>
      <c r="AB192">
        <v>1</v>
      </c>
      <c r="AF192">
        <v>12</v>
      </c>
      <c r="AG192" t="s">
        <v>1982</v>
      </c>
    </row>
    <row r="193" spans="1:32" ht="15.75" hidden="1" customHeight="1" thickBot="1">
      <c r="A193" s="209">
        <v>192</v>
      </c>
      <c r="B193" s="379" t="s">
        <v>26</v>
      </c>
      <c r="C193" s="380" t="s">
        <v>1931</v>
      </c>
      <c r="D193" s="380"/>
      <c r="E193" s="381" t="s">
        <v>1936</v>
      </c>
      <c r="F193" s="380" t="s">
        <v>1937</v>
      </c>
      <c r="G193" s="382"/>
      <c r="H193" s="380"/>
      <c r="I193" s="381"/>
      <c r="J193" s="383" t="s">
        <v>11</v>
      </c>
      <c r="K193" s="384">
        <f t="shared" ref="K193:V193" si="53">$W$193/$AF$193</f>
        <v>710306.70927916665</v>
      </c>
      <c r="L193" s="384">
        <f t="shared" si="53"/>
        <v>710306.70927916665</v>
      </c>
      <c r="M193" s="384">
        <f t="shared" si="53"/>
        <v>710306.70927916665</v>
      </c>
      <c r="N193" s="384">
        <f t="shared" si="53"/>
        <v>710306.70927916665</v>
      </c>
      <c r="O193" s="384">
        <f t="shared" si="53"/>
        <v>710306.70927916665</v>
      </c>
      <c r="P193" s="384">
        <f t="shared" si="53"/>
        <v>710306.70927916665</v>
      </c>
      <c r="Q193" s="384">
        <f t="shared" si="53"/>
        <v>710306.70927916665</v>
      </c>
      <c r="R193" s="384">
        <f t="shared" si="53"/>
        <v>710306.70927916665</v>
      </c>
      <c r="S193" s="384">
        <f t="shared" si="53"/>
        <v>710306.70927916665</v>
      </c>
      <c r="T193" s="384">
        <f t="shared" si="53"/>
        <v>710306.70927916665</v>
      </c>
      <c r="U193" s="384">
        <f t="shared" si="53"/>
        <v>710306.70927916665</v>
      </c>
      <c r="V193" s="385">
        <f t="shared" si="53"/>
        <v>710306.70927916665</v>
      </c>
      <c r="W193" s="400">
        <v>8523680.5113500003</v>
      </c>
      <c r="X193" s="205">
        <f t="shared" si="50"/>
        <v>4261840.2556750001</v>
      </c>
      <c r="Y193" s="251" t="s">
        <v>1965</v>
      </c>
      <c r="Z193" s="275"/>
      <c r="AA193" s="218"/>
      <c r="AB193">
        <v>1</v>
      </c>
      <c r="AF193">
        <v>12</v>
      </c>
    </row>
    <row r="194" spans="1:32" ht="15.75" hidden="1" customHeight="1" thickBot="1">
      <c r="A194" s="193">
        <v>193</v>
      </c>
      <c r="B194" s="379" t="s">
        <v>26</v>
      </c>
      <c r="C194" s="380" t="s">
        <v>1931</v>
      </c>
      <c r="D194" s="380"/>
      <c r="E194" s="381" t="s">
        <v>1936</v>
      </c>
      <c r="F194" s="380" t="s">
        <v>1937</v>
      </c>
      <c r="G194" s="382"/>
      <c r="H194" s="380"/>
      <c r="I194" s="381"/>
      <c r="J194" s="219" t="s">
        <v>13</v>
      </c>
      <c r="K194" s="384">
        <f t="shared" ref="K194:V194" si="54">$W$194/$AF$194</f>
        <v>60728.416666666664</v>
      </c>
      <c r="L194" s="384">
        <f t="shared" si="54"/>
        <v>60728.416666666664</v>
      </c>
      <c r="M194" s="384">
        <f t="shared" si="54"/>
        <v>60728.416666666664</v>
      </c>
      <c r="N194" s="384">
        <f t="shared" si="54"/>
        <v>60728.416666666664</v>
      </c>
      <c r="O194" s="384">
        <f t="shared" si="54"/>
        <v>60728.416666666664</v>
      </c>
      <c r="P194" s="384">
        <f t="shared" si="54"/>
        <v>60728.416666666664</v>
      </c>
      <c r="Q194" s="384">
        <f t="shared" si="54"/>
        <v>60728.416666666664</v>
      </c>
      <c r="R194" s="384">
        <f t="shared" si="54"/>
        <v>60728.416666666664</v>
      </c>
      <c r="S194" s="384">
        <f t="shared" si="54"/>
        <v>60728.416666666664</v>
      </c>
      <c r="T194" s="384">
        <f t="shared" si="54"/>
        <v>60728.416666666664</v>
      </c>
      <c r="U194" s="384">
        <f t="shared" si="54"/>
        <v>60728.416666666664</v>
      </c>
      <c r="V194" s="385">
        <f t="shared" si="54"/>
        <v>60728.416666666664</v>
      </c>
      <c r="W194" s="400">
        <v>728741</v>
      </c>
      <c r="X194" s="205">
        <f t="shared" si="50"/>
        <v>364370.5</v>
      </c>
      <c r="Y194" s="251" t="s">
        <v>1965</v>
      </c>
      <c r="Z194" s="275"/>
      <c r="AA194" s="218"/>
      <c r="AB194">
        <v>1</v>
      </c>
      <c r="AF194">
        <v>12</v>
      </c>
    </row>
    <row r="195" spans="1:32" ht="15.75" hidden="1" customHeight="1" thickBot="1">
      <c r="A195" s="209">
        <v>194</v>
      </c>
      <c r="B195" s="379" t="s">
        <v>26</v>
      </c>
      <c r="C195" s="380" t="s">
        <v>1931</v>
      </c>
      <c r="D195" s="380"/>
      <c r="E195" s="381" t="s">
        <v>1936</v>
      </c>
      <c r="F195" s="380" t="s">
        <v>1937</v>
      </c>
      <c r="G195" s="382"/>
      <c r="H195" s="380"/>
      <c r="I195" s="381"/>
      <c r="J195" s="383" t="s">
        <v>1981</v>
      </c>
      <c r="K195" s="384"/>
      <c r="L195" s="384"/>
      <c r="M195" s="384"/>
      <c r="N195" s="384"/>
      <c r="O195" s="384"/>
      <c r="P195" s="384"/>
      <c r="Q195" s="384"/>
      <c r="R195" s="384"/>
      <c r="S195" s="384"/>
      <c r="T195" s="384"/>
      <c r="U195" s="384"/>
      <c r="V195" s="385"/>
      <c r="W195" s="399"/>
      <c r="X195" s="205">
        <f t="shared" si="50"/>
        <v>0</v>
      </c>
      <c r="Y195" s="251" t="s">
        <v>1965</v>
      </c>
      <c r="Z195" s="275"/>
      <c r="AA195" s="218"/>
      <c r="AB195">
        <v>1</v>
      </c>
    </row>
    <row r="196" spans="1:32" ht="15.75" hidden="1" customHeight="1" thickBot="1">
      <c r="A196" s="209">
        <v>195</v>
      </c>
      <c r="B196" s="379" t="s">
        <v>26</v>
      </c>
      <c r="C196" s="380" t="s">
        <v>1931</v>
      </c>
      <c r="D196" s="380"/>
      <c r="E196" s="381" t="s">
        <v>1936</v>
      </c>
      <c r="F196" s="380" t="s">
        <v>1937</v>
      </c>
      <c r="G196" s="382"/>
      <c r="H196" s="380"/>
      <c r="I196" s="381"/>
      <c r="J196" s="213" t="s">
        <v>14</v>
      </c>
      <c r="K196" s="384">
        <f>K193+K194</f>
        <v>771035.12594583328</v>
      </c>
      <c r="L196" s="384">
        <f t="shared" ref="L196:V196" si="55">L193+L194</f>
        <v>771035.12594583328</v>
      </c>
      <c r="M196" s="384">
        <f t="shared" si="55"/>
        <v>771035.12594583328</v>
      </c>
      <c r="N196" s="384">
        <f t="shared" si="55"/>
        <v>771035.12594583328</v>
      </c>
      <c r="O196" s="384">
        <f t="shared" si="55"/>
        <v>771035.12594583328</v>
      </c>
      <c r="P196" s="384">
        <f t="shared" si="55"/>
        <v>771035.12594583328</v>
      </c>
      <c r="Q196" s="384">
        <f t="shared" si="55"/>
        <v>771035.12594583328</v>
      </c>
      <c r="R196" s="384">
        <f t="shared" si="55"/>
        <v>771035.12594583328</v>
      </c>
      <c r="S196" s="384">
        <f t="shared" si="55"/>
        <v>771035.12594583328</v>
      </c>
      <c r="T196" s="384">
        <f t="shared" si="55"/>
        <v>771035.12594583328</v>
      </c>
      <c r="U196" s="384">
        <f t="shared" si="55"/>
        <v>771035.12594583328</v>
      </c>
      <c r="V196" s="385">
        <f t="shared" si="55"/>
        <v>771035.12594583328</v>
      </c>
      <c r="W196" s="399">
        <f>W193+W194</f>
        <v>9252421.5113500003</v>
      </c>
      <c r="X196" s="205">
        <f t="shared" si="50"/>
        <v>4626210.7556750001</v>
      </c>
      <c r="Y196" s="251" t="s">
        <v>1965</v>
      </c>
      <c r="Z196" s="275"/>
      <c r="AA196" s="218"/>
      <c r="AB196">
        <v>1</v>
      </c>
    </row>
    <row r="197" spans="1:32" ht="15.75" hidden="1" customHeight="1" thickBot="1">
      <c r="A197" s="209">
        <v>196</v>
      </c>
      <c r="B197" s="379" t="s">
        <v>26</v>
      </c>
      <c r="C197" s="380" t="s">
        <v>1931</v>
      </c>
      <c r="D197" s="380"/>
      <c r="E197" s="381" t="s">
        <v>1936</v>
      </c>
      <c r="F197" s="380" t="s">
        <v>1937</v>
      </c>
      <c r="G197" s="382"/>
      <c r="H197" s="380"/>
      <c r="I197" s="381"/>
      <c r="J197" s="383" t="s">
        <v>15</v>
      </c>
      <c r="K197" s="384">
        <f>K192/K191</f>
        <v>1088.3224537037036</v>
      </c>
      <c r="L197" s="384">
        <f t="shared" ref="L197:V197" si="56">L192/L191</f>
        <v>1088.3224537037036</v>
      </c>
      <c r="M197" s="384">
        <f t="shared" si="56"/>
        <v>1088.3224537037036</v>
      </c>
      <c r="N197" s="384">
        <f>N192/N191</f>
        <v>1088.3224537037036</v>
      </c>
      <c r="O197" s="384">
        <f t="shared" si="56"/>
        <v>1088.3224537037036</v>
      </c>
      <c r="P197" s="384">
        <f>P192/P191</f>
        <v>1088.3224537037036</v>
      </c>
      <c r="Q197" s="384">
        <f t="shared" si="56"/>
        <v>1088.3224537037036</v>
      </c>
      <c r="R197" s="384">
        <f t="shared" si="56"/>
        <v>1088.3224537037036</v>
      </c>
      <c r="S197" s="384">
        <f t="shared" si="56"/>
        <v>1088.3224537037036</v>
      </c>
      <c r="T197" s="384">
        <f t="shared" si="56"/>
        <v>1088.3224537037036</v>
      </c>
      <c r="U197" s="384">
        <f t="shared" si="56"/>
        <v>1088.3224537037036</v>
      </c>
      <c r="V197" s="385">
        <f t="shared" si="56"/>
        <v>1088.3224537037036</v>
      </c>
      <c r="W197" s="399">
        <f>W192/W191</f>
        <v>1088.3224537037038</v>
      </c>
      <c r="X197" s="388">
        <f t="shared" si="50"/>
        <v>6529.9347222222223</v>
      </c>
      <c r="Y197" s="251" t="s">
        <v>1965</v>
      </c>
      <c r="Z197" s="275"/>
      <c r="AA197" s="218"/>
      <c r="AB197">
        <v>2</v>
      </c>
    </row>
    <row r="198" spans="1:32" ht="15.75" hidden="1" customHeight="1" thickBot="1">
      <c r="A198" s="193">
        <v>197</v>
      </c>
      <c r="B198" s="389" t="s">
        <v>26</v>
      </c>
      <c r="C198" s="390" t="s">
        <v>1931</v>
      </c>
      <c r="D198" s="390"/>
      <c r="E198" s="391" t="s">
        <v>1936</v>
      </c>
      <c r="F198" s="390" t="s">
        <v>1937</v>
      </c>
      <c r="G198" s="392"/>
      <c r="H198" s="390"/>
      <c r="I198" s="391"/>
      <c r="J198" s="393" t="s">
        <v>16</v>
      </c>
      <c r="K198" s="394">
        <f>K196/K192</f>
        <v>19.679500606182682</v>
      </c>
      <c r="L198" s="394">
        <f t="shared" ref="L198:W198" si="57">L196/L192</f>
        <v>19.679500606182682</v>
      </c>
      <c r="M198" s="394">
        <f t="shared" si="57"/>
        <v>19.679500606182682</v>
      </c>
      <c r="N198" s="394">
        <f t="shared" si="57"/>
        <v>19.679500606182682</v>
      </c>
      <c r="O198" s="394">
        <f t="shared" si="57"/>
        <v>19.679500606182682</v>
      </c>
      <c r="P198" s="394">
        <f t="shared" si="57"/>
        <v>19.679500606182682</v>
      </c>
      <c r="Q198" s="394">
        <f t="shared" si="57"/>
        <v>19.679500606182682</v>
      </c>
      <c r="R198" s="394">
        <f t="shared" si="57"/>
        <v>19.679500606182682</v>
      </c>
      <c r="S198" s="394">
        <f t="shared" si="57"/>
        <v>19.679500606182682</v>
      </c>
      <c r="T198" s="394">
        <f t="shared" si="57"/>
        <v>19.679500606182682</v>
      </c>
      <c r="U198" s="394">
        <f t="shared" si="57"/>
        <v>19.679500606182682</v>
      </c>
      <c r="V198" s="395">
        <f t="shared" si="57"/>
        <v>19.679500606182682</v>
      </c>
      <c r="W198" s="401">
        <f t="shared" si="57"/>
        <v>19.679500606182682</v>
      </c>
      <c r="X198" s="397">
        <f t="shared" si="50"/>
        <v>118.0770036370961</v>
      </c>
      <c r="Y198" s="251" t="s">
        <v>1965</v>
      </c>
      <c r="Z198" s="279"/>
      <c r="AA198" s="235"/>
      <c r="AB198">
        <v>2</v>
      </c>
    </row>
    <row r="199" spans="1:32" ht="15.75" hidden="1" customHeight="1" thickBot="1">
      <c r="A199" s="209">
        <v>198</v>
      </c>
      <c r="B199" s="371" t="s">
        <v>26</v>
      </c>
      <c r="C199" s="372" t="s">
        <v>1931</v>
      </c>
      <c r="D199" s="372"/>
      <c r="E199" s="373" t="s">
        <v>1936</v>
      </c>
      <c r="F199" s="372" t="s">
        <v>1940</v>
      </c>
      <c r="G199" s="374"/>
      <c r="H199" s="372"/>
      <c r="I199" s="373"/>
      <c r="J199" s="375" t="s">
        <v>1947</v>
      </c>
      <c r="K199" s="376"/>
      <c r="L199" s="376"/>
      <c r="M199" s="376"/>
      <c r="N199" s="376"/>
      <c r="O199" s="376"/>
      <c r="P199" s="376"/>
      <c r="Q199" s="376"/>
      <c r="R199" s="376"/>
      <c r="S199" s="376"/>
      <c r="T199" s="376"/>
      <c r="U199" s="376"/>
      <c r="V199" s="377"/>
      <c r="W199" s="398">
        <f>SUM(K199:V199)</f>
        <v>0</v>
      </c>
      <c r="X199" s="205">
        <f t="shared" si="50"/>
        <v>0</v>
      </c>
      <c r="Y199" s="251" t="s">
        <v>1965</v>
      </c>
      <c r="Z199" s="286"/>
      <c r="AA199" s="244"/>
      <c r="AB199">
        <v>1</v>
      </c>
    </row>
    <row r="200" spans="1:32" ht="15.75" hidden="1" customHeight="1" thickBot="1">
      <c r="A200" s="209">
        <v>199</v>
      </c>
      <c r="B200" s="379" t="s">
        <v>26</v>
      </c>
      <c r="C200" s="380" t="s">
        <v>1931</v>
      </c>
      <c r="D200" s="380"/>
      <c r="E200" s="381" t="s">
        <v>1936</v>
      </c>
      <c r="F200" s="380" t="s">
        <v>1940</v>
      </c>
      <c r="G200" s="382"/>
      <c r="H200" s="380"/>
      <c r="I200" s="381"/>
      <c r="J200" s="383" t="s">
        <v>9</v>
      </c>
      <c r="K200" s="384">
        <v>22</v>
      </c>
      <c r="L200" s="384">
        <v>22</v>
      </c>
      <c r="M200" s="384">
        <v>22</v>
      </c>
      <c r="N200" s="384">
        <v>22</v>
      </c>
      <c r="O200" s="384">
        <v>22</v>
      </c>
      <c r="P200" s="384">
        <v>22</v>
      </c>
      <c r="Q200" s="384">
        <v>22</v>
      </c>
      <c r="R200" s="384">
        <v>22</v>
      </c>
      <c r="S200" s="384">
        <v>22</v>
      </c>
      <c r="T200" s="384">
        <v>22</v>
      </c>
      <c r="U200" s="384">
        <v>22</v>
      </c>
      <c r="V200" s="385">
        <v>22</v>
      </c>
      <c r="W200" s="399">
        <f>SUM(K200:V200)</f>
        <v>264</v>
      </c>
      <c r="X200" s="205">
        <f t="shared" si="50"/>
        <v>132</v>
      </c>
      <c r="Y200" s="251" t="s">
        <v>1965</v>
      </c>
      <c r="Z200" s="275"/>
      <c r="AA200" s="218"/>
      <c r="AB200">
        <v>1</v>
      </c>
      <c r="AF200">
        <v>12</v>
      </c>
    </row>
    <row r="201" spans="1:32" ht="15.75" hidden="1" customHeight="1" thickBot="1">
      <c r="A201" s="209">
        <v>200</v>
      </c>
      <c r="B201" s="379" t="s">
        <v>26</v>
      </c>
      <c r="C201" s="380" t="s">
        <v>1931</v>
      </c>
      <c r="D201" s="380"/>
      <c r="E201" s="381" t="s">
        <v>1936</v>
      </c>
      <c r="F201" s="380" t="s">
        <v>1940</v>
      </c>
      <c r="G201" s="382"/>
      <c r="H201" s="380"/>
      <c r="I201" s="381"/>
      <c r="J201" s="383" t="s">
        <v>10</v>
      </c>
      <c r="K201" s="384">
        <f t="shared" ref="K201:V201" si="58">$W$201/$AF$201</f>
        <v>24013.308333333334</v>
      </c>
      <c r="L201" s="384">
        <f t="shared" si="58"/>
        <v>24013.308333333334</v>
      </c>
      <c r="M201" s="384">
        <f t="shared" si="58"/>
        <v>24013.308333333334</v>
      </c>
      <c r="N201" s="384">
        <f t="shared" si="58"/>
        <v>24013.308333333334</v>
      </c>
      <c r="O201" s="384">
        <f t="shared" si="58"/>
        <v>24013.308333333334</v>
      </c>
      <c r="P201" s="384">
        <f t="shared" si="58"/>
        <v>24013.308333333334</v>
      </c>
      <c r="Q201" s="384">
        <f t="shared" si="58"/>
        <v>24013.308333333334</v>
      </c>
      <c r="R201" s="384">
        <f t="shared" si="58"/>
        <v>24013.308333333334</v>
      </c>
      <c r="S201" s="384">
        <f t="shared" si="58"/>
        <v>24013.308333333334</v>
      </c>
      <c r="T201" s="384">
        <f t="shared" si="58"/>
        <v>24013.308333333334</v>
      </c>
      <c r="U201" s="384">
        <f t="shared" si="58"/>
        <v>24013.308333333334</v>
      </c>
      <c r="V201" s="385">
        <f t="shared" si="58"/>
        <v>24013.308333333334</v>
      </c>
      <c r="W201" s="400">
        <f>758315*0.38</f>
        <v>288159.7</v>
      </c>
      <c r="X201" s="205">
        <f t="shared" si="50"/>
        <v>144079.85</v>
      </c>
      <c r="Y201" s="251" t="s">
        <v>1965</v>
      </c>
      <c r="Z201" s="275"/>
      <c r="AA201" s="218"/>
      <c r="AB201">
        <v>1</v>
      </c>
      <c r="AF201">
        <v>12</v>
      </c>
    </row>
    <row r="202" spans="1:32" ht="15.75" hidden="1" customHeight="1" thickBot="1">
      <c r="A202" s="193">
        <v>201</v>
      </c>
      <c r="B202" s="379" t="s">
        <v>26</v>
      </c>
      <c r="C202" s="380" t="s">
        <v>1931</v>
      </c>
      <c r="D202" s="380"/>
      <c r="E202" s="381" t="s">
        <v>1936</v>
      </c>
      <c r="F202" s="380" t="s">
        <v>1940</v>
      </c>
      <c r="G202" s="382"/>
      <c r="H202" s="380"/>
      <c r="I202" s="381"/>
      <c r="J202" s="383" t="s">
        <v>11</v>
      </c>
      <c r="K202" s="384">
        <f t="shared" ref="K202:V202" si="59">$W$202/$AF$202</f>
        <v>580142.31868666678</v>
      </c>
      <c r="L202" s="384">
        <f t="shared" si="59"/>
        <v>580142.31868666678</v>
      </c>
      <c r="M202" s="384">
        <f t="shared" si="59"/>
        <v>580142.31868666678</v>
      </c>
      <c r="N202" s="384">
        <f t="shared" si="59"/>
        <v>580142.31868666678</v>
      </c>
      <c r="O202" s="384">
        <f t="shared" si="59"/>
        <v>580142.31868666678</v>
      </c>
      <c r="P202" s="384">
        <f t="shared" si="59"/>
        <v>580142.31868666678</v>
      </c>
      <c r="Q202" s="384">
        <f t="shared" si="59"/>
        <v>580142.31868666678</v>
      </c>
      <c r="R202" s="384">
        <f t="shared" si="59"/>
        <v>580142.31868666678</v>
      </c>
      <c r="S202" s="384">
        <f t="shared" si="59"/>
        <v>580142.31868666678</v>
      </c>
      <c r="T202" s="384">
        <f t="shared" si="59"/>
        <v>580142.31868666678</v>
      </c>
      <c r="U202" s="384">
        <f t="shared" si="59"/>
        <v>580142.31868666678</v>
      </c>
      <c r="V202" s="385">
        <f t="shared" si="59"/>
        <v>580142.31868666678</v>
      </c>
      <c r="W202" s="400">
        <v>6961707.8242400009</v>
      </c>
      <c r="X202" s="205">
        <f t="shared" si="50"/>
        <v>3480853.9121200009</v>
      </c>
      <c r="Y202" s="251" t="s">
        <v>1965</v>
      </c>
      <c r="Z202" s="275"/>
      <c r="AA202" s="218"/>
      <c r="AB202">
        <v>1</v>
      </c>
      <c r="AD202" s="399">
        <f>W201*24.16</f>
        <v>6961938.352</v>
      </c>
      <c r="AF202">
        <v>12</v>
      </c>
    </row>
    <row r="203" spans="1:32" ht="15.75" hidden="1" customHeight="1" thickBot="1">
      <c r="A203" s="209">
        <v>203</v>
      </c>
      <c r="B203" s="379" t="s">
        <v>26</v>
      </c>
      <c r="C203" s="380" t="s">
        <v>1931</v>
      </c>
      <c r="D203" s="380"/>
      <c r="E203" s="381" t="s">
        <v>1936</v>
      </c>
      <c r="F203" s="380" t="s">
        <v>1940</v>
      </c>
      <c r="G203" s="382"/>
      <c r="H203" s="380"/>
      <c r="I203" s="381"/>
      <c r="J203" s="219" t="s">
        <v>13</v>
      </c>
      <c r="K203" s="384">
        <f>$W$203/$AF$203</f>
        <v>26414.639166666671</v>
      </c>
      <c r="L203" s="384">
        <f t="shared" ref="L203:V203" si="60">$W$203/$AF$203</f>
        <v>26414.639166666671</v>
      </c>
      <c r="M203" s="384">
        <f t="shared" si="60"/>
        <v>26414.639166666671</v>
      </c>
      <c r="N203" s="384">
        <f t="shared" si="60"/>
        <v>26414.639166666671</v>
      </c>
      <c r="O203" s="384">
        <f t="shared" si="60"/>
        <v>26414.639166666671</v>
      </c>
      <c r="P203" s="384">
        <f t="shared" si="60"/>
        <v>26414.639166666671</v>
      </c>
      <c r="Q203" s="384">
        <f t="shared" si="60"/>
        <v>26414.639166666671</v>
      </c>
      <c r="R203" s="384">
        <f t="shared" si="60"/>
        <v>26414.639166666671</v>
      </c>
      <c r="S203" s="384">
        <f t="shared" si="60"/>
        <v>26414.639166666671</v>
      </c>
      <c r="T203" s="384">
        <f t="shared" si="60"/>
        <v>26414.639166666671</v>
      </c>
      <c r="U203" s="384">
        <f t="shared" si="60"/>
        <v>26414.639166666671</v>
      </c>
      <c r="V203" s="384">
        <f t="shared" si="60"/>
        <v>26414.639166666671</v>
      </c>
      <c r="W203" s="399">
        <v>316975.67000000004</v>
      </c>
      <c r="X203" s="205">
        <f t="shared" si="50"/>
        <v>158487.83500000002</v>
      </c>
      <c r="Y203" s="251" t="s">
        <v>1965</v>
      </c>
      <c r="Z203" s="275"/>
      <c r="AA203" s="218"/>
      <c r="AB203">
        <v>1</v>
      </c>
      <c r="AF203">
        <v>12</v>
      </c>
    </row>
    <row r="204" spans="1:32" ht="15.75" hidden="1" customHeight="1" thickBot="1">
      <c r="A204" s="209">
        <v>202</v>
      </c>
      <c r="B204" s="379" t="s">
        <v>26</v>
      </c>
      <c r="C204" s="380" t="s">
        <v>1931</v>
      </c>
      <c r="D204" s="380"/>
      <c r="E204" s="381" t="s">
        <v>1936</v>
      </c>
      <c r="F204" s="380" t="s">
        <v>1940</v>
      </c>
      <c r="G204" s="382"/>
      <c r="H204" s="380"/>
      <c r="I204" s="381"/>
      <c r="J204" s="383" t="s">
        <v>1981</v>
      </c>
      <c r="K204" s="384"/>
      <c r="L204" s="384"/>
      <c r="M204" s="384"/>
      <c r="N204" s="384"/>
      <c r="O204" s="384"/>
      <c r="P204" s="384"/>
      <c r="Q204" s="384"/>
      <c r="R204" s="384"/>
      <c r="S204" s="384"/>
      <c r="T204" s="384"/>
      <c r="U204" s="384"/>
      <c r="V204" s="385"/>
      <c r="W204" s="399">
        <f>SUM(K204:V204)</f>
        <v>0</v>
      </c>
      <c r="X204" s="205">
        <f t="shared" si="50"/>
        <v>0</v>
      </c>
      <c r="Y204" s="251" t="s">
        <v>1965</v>
      </c>
      <c r="Z204" s="275"/>
      <c r="AA204" s="218"/>
      <c r="AB204">
        <v>1</v>
      </c>
    </row>
    <row r="205" spans="1:32" ht="15.75" hidden="1" customHeight="1" thickBot="1">
      <c r="A205" s="209">
        <v>202</v>
      </c>
      <c r="B205" s="379" t="s">
        <v>26</v>
      </c>
      <c r="C205" s="380" t="s">
        <v>1931</v>
      </c>
      <c r="D205" s="380"/>
      <c r="E205" s="381" t="s">
        <v>1936</v>
      </c>
      <c r="F205" s="380" t="s">
        <v>1940</v>
      </c>
      <c r="G205" s="382"/>
      <c r="H205" s="380"/>
      <c r="I205" s="381"/>
      <c r="J205" s="213" t="s">
        <v>14</v>
      </c>
      <c r="K205" s="384">
        <f>K202+K203</f>
        <v>606556.95785333344</v>
      </c>
      <c r="L205" s="384">
        <f t="shared" ref="L205:W205" si="61">L202+L203</f>
        <v>606556.95785333344</v>
      </c>
      <c r="M205" s="384">
        <f t="shared" si="61"/>
        <v>606556.95785333344</v>
      </c>
      <c r="N205" s="384">
        <f t="shared" si="61"/>
        <v>606556.95785333344</v>
      </c>
      <c r="O205" s="384">
        <f t="shared" si="61"/>
        <v>606556.95785333344</v>
      </c>
      <c r="P205" s="384">
        <f t="shared" si="61"/>
        <v>606556.95785333344</v>
      </c>
      <c r="Q205" s="384">
        <f t="shared" si="61"/>
        <v>606556.95785333344</v>
      </c>
      <c r="R205" s="384">
        <f t="shared" si="61"/>
        <v>606556.95785333344</v>
      </c>
      <c r="S205" s="384">
        <f t="shared" si="61"/>
        <v>606556.95785333344</v>
      </c>
      <c r="T205" s="384">
        <f t="shared" si="61"/>
        <v>606556.95785333344</v>
      </c>
      <c r="U205" s="384">
        <f t="shared" si="61"/>
        <v>606556.95785333344</v>
      </c>
      <c r="V205" s="384">
        <f t="shared" si="61"/>
        <v>606556.95785333344</v>
      </c>
      <c r="W205" s="384">
        <f t="shared" si="61"/>
        <v>7278683.4942400008</v>
      </c>
      <c r="X205" s="205">
        <f t="shared" si="50"/>
        <v>3639341.7471200009</v>
      </c>
      <c r="Y205" s="251" t="s">
        <v>1965</v>
      </c>
      <c r="Z205" s="275"/>
      <c r="AA205" s="218"/>
      <c r="AB205">
        <v>1</v>
      </c>
    </row>
    <row r="206" spans="1:32" ht="15.75" hidden="1" customHeight="1" thickBot="1">
      <c r="A206" s="193">
        <v>205</v>
      </c>
      <c r="B206" s="379" t="s">
        <v>26</v>
      </c>
      <c r="C206" s="380" t="s">
        <v>1931</v>
      </c>
      <c r="D206" s="380"/>
      <c r="E206" s="381" t="s">
        <v>1936</v>
      </c>
      <c r="F206" s="380" t="s">
        <v>1940</v>
      </c>
      <c r="G206" s="382"/>
      <c r="H206" s="380"/>
      <c r="I206" s="381"/>
      <c r="J206" s="383" t="s">
        <v>15</v>
      </c>
      <c r="K206" s="384">
        <f t="shared" ref="K206:W206" si="62">K201/K200</f>
        <v>1091.5140151515152</v>
      </c>
      <c r="L206" s="384">
        <f t="shared" si="62"/>
        <v>1091.5140151515152</v>
      </c>
      <c r="M206" s="384">
        <f t="shared" si="62"/>
        <v>1091.5140151515152</v>
      </c>
      <c r="N206" s="384">
        <f t="shared" si="62"/>
        <v>1091.5140151515152</v>
      </c>
      <c r="O206" s="384">
        <f t="shared" si="62"/>
        <v>1091.5140151515152</v>
      </c>
      <c r="P206" s="384">
        <f t="shared" si="62"/>
        <v>1091.5140151515152</v>
      </c>
      <c r="Q206" s="384">
        <f t="shared" si="62"/>
        <v>1091.5140151515152</v>
      </c>
      <c r="R206" s="384">
        <f t="shared" si="62"/>
        <v>1091.5140151515152</v>
      </c>
      <c r="S206" s="384">
        <f t="shared" si="62"/>
        <v>1091.5140151515152</v>
      </c>
      <c r="T206" s="384">
        <f t="shared" si="62"/>
        <v>1091.5140151515152</v>
      </c>
      <c r="U206" s="384">
        <f t="shared" si="62"/>
        <v>1091.5140151515152</v>
      </c>
      <c r="V206" s="385">
        <f t="shared" si="62"/>
        <v>1091.5140151515152</v>
      </c>
      <c r="W206" s="399">
        <f t="shared" si="62"/>
        <v>1091.5140151515152</v>
      </c>
      <c r="X206" s="388">
        <f t="shared" si="50"/>
        <v>6549.0840909090912</v>
      </c>
      <c r="Y206" s="251" t="s">
        <v>1965</v>
      </c>
      <c r="Z206" s="275"/>
      <c r="AA206" s="218"/>
      <c r="AB206">
        <v>2</v>
      </c>
    </row>
    <row r="207" spans="1:32" ht="15.75" hidden="1" customHeight="1" thickBot="1">
      <c r="A207" s="209">
        <v>206</v>
      </c>
      <c r="B207" s="389" t="s">
        <v>26</v>
      </c>
      <c r="C207" s="390" t="s">
        <v>1931</v>
      </c>
      <c r="D207" s="390"/>
      <c r="E207" s="391" t="s">
        <v>1936</v>
      </c>
      <c r="F207" s="390" t="s">
        <v>1940</v>
      </c>
      <c r="G207" s="392"/>
      <c r="H207" s="390"/>
      <c r="I207" s="391"/>
      <c r="J207" s="393" t="s">
        <v>16</v>
      </c>
      <c r="K207" s="394">
        <f t="shared" ref="K207:W207" si="63">(K202+K203-K204)/K201</f>
        <v>25.259200000000003</v>
      </c>
      <c r="L207" s="394">
        <f t="shared" si="63"/>
        <v>25.259200000000003</v>
      </c>
      <c r="M207" s="394">
        <f t="shared" si="63"/>
        <v>25.259200000000003</v>
      </c>
      <c r="N207" s="394">
        <f t="shared" si="63"/>
        <v>25.259200000000003</v>
      </c>
      <c r="O207" s="394">
        <f t="shared" si="63"/>
        <v>25.259200000000003</v>
      </c>
      <c r="P207" s="394">
        <f t="shared" si="63"/>
        <v>25.259200000000003</v>
      </c>
      <c r="Q207" s="394">
        <f t="shared" si="63"/>
        <v>25.259200000000003</v>
      </c>
      <c r="R207" s="394">
        <f t="shared" si="63"/>
        <v>25.259200000000003</v>
      </c>
      <c r="S207" s="394">
        <f t="shared" si="63"/>
        <v>25.259200000000003</v>
      </c>
      <c r="T207" s="394">
        <f t="shared" si="63"/>
        <v>25.259200000000003</v>
      </c>
      <c r="U207" s="394">
        <f t="shared" si="63"/>
        <v>25.259200000000003</v>
      </c>
      <c r="V207" s="395">
        <f t="shared" si="63"/>
        <v>25.259200000000003</v>
      </c>
      <c r="W207" s="401">
        <f t="shared" si="63"/>
        <v>25.259200000000003</v>
      </c>
      <c r="X207" s="397">
        <f t="shared" si="50"/>
        <v>151.55520000000001</v>
      </c>
      <c r="Y207" s="251" t="s">
        <v>1965</v>
      </c>
      <c r="Z207" s="279"/>
      <c r="AA207" s="235"/>
      <c r="AB207">
        <v>2</v>
      </c>
    </row>
    <row r="208" spans="1:32" ht="15.75" hidden="1" customHeight="1" thickBot="1">
      <c r="A208" s="209">
        <v>207</v>
      </c>
      <c r="B208" s="371" t="s">
        <v>26</v>
      </c>
      <c r="C208" s="372" t="s">
        <v>1943</v>
      </c>
      <c r="D208" s="372"/>
      <c r="E208" s="373" t="s">
        <v>1936</v>
      </c>
      <c r="F208" s="372" t="s">
        <v>1944</v>
      </c>
      <c r="G208" s="382"/>
      <c r="H208" s="380" t="s">
        <v>1967</v>
      </c>
      <c r="I208" s="373"/>
      <c r="J208" s="375" t="s">
        <v>1947</v>
      </c>
      <c r="K208" s="376"/>
      <c r="L208" s="376"/>
      <c r="M208" s="376"/>
      <c r="N208" s="376"/>
      <c r="O208" s="376"/>
      <c r="P208" s="376"/>
      <c r="Q208" s="376"/>
      <c r="R208" s="376"/>
      <c r="S208" s="376"/>
      <c r="T208" s="376"/>
      <c r="U208" s="376"/>
      <c r="V208" s="377"/>
      <c r="W208" s="398"/>
      <c r="X208" s="205">
        <f t="shared" si="50"/>
        <v>0</v>
      </c>
      <c r="Y208" s="251" t="s">
        <v>1965</v>
      </c>
      <c r="Z208" s="271"/>
      <c r="AA208" s="244"/>
      <c r="AB208">
        <v>1</v>
      </c>
    </row>
    <row r="209" spans="1:32" ht="15.75" hidden="1" customHeight="1" thickBot="1">
      <c r="A209" s="209">
        <v>208</v>
      </c>
      <c r="B209" s="402" t="s">
        <v>26</v>
      </c>
      <c r="C209" s="403" t="s">
        <v>1943</v>
      </c>
      <c r="D209" s="403"/>
      <c r="E209" s="404" t="s">
        <v>1936</v>
      </c>
      <c r="F209" s="403" t="s">
        <v>1944</v>
      </c>
      <c r="G209" s="382"/>
      <c r="H209" s="380" t="s">
        <v>1967</v>
      </c>
      <c r="I209" s="404"/>
      <c r="J209" s="405" t="s">
        <v>9</v>
      </c>
      <c r="K209" s="406">
        <f>ROUND($W209/$AF209,0)</f>
        <v>17</v>
      </c>
      <c r="L209" s="406">
        <f t="shared" ref="L209:V209" si="64">ROUND($W$209/$AF$209,0)</f>
        <v>17</v>
      </c>
      <c r="M209" s="406">
        <f t="shared" si="64"/>
        <v>17</v>
      </c>
      <c r="N209" s="406">
        <f t="shared" si="64"/>
        <v>17</v>
      </c>
      <c r="O209" s="406">
        <f t="shared" si="64"/>
        <v>17</v>
      </c>
      <c r="P209" s="406">
        <f t="shared" si="64"/>
        <v>17</v>
      </c>
      <c r="Q209" s="406">
        <f t="shared" si="64"/>
        <v>17</v>
      </c>
      <c r="R209" s="406">
        <f t="shared" si="64"/>
        <v>17</v>
      </c>
      <c r="S209" s="406">
        <f t="shared" si="64"/>
        <v>17</v>
      </c>
      <c r="T209" s="406">
        <f t="shared" si="64"/>
        <v>17</v>
      </c>
      <c r="U209" s="406">
        <f t="shared" si="64"/>
        <v>17</v>
      </c>
      <c r="V209" s="407">
        <f t="shared" si="64"/>
        <v>17</v>
      </c>
      <c r="W209" s="408">
        <v>200</v>
      </c>
      <c r="X209" s="205">
        <f t="shared" si="50"/>
        <v>102</v>
      </c>
      <c r="Y209" s="251" t="s">
        <v>1965</v>
      </c>
      <c r="Z209" s="271"/>
      <c r="AA209" s="207"/>
      <c r="AB209">
        <v>1</v>
      </c>
      <c r="AF209">
        <v>12</v>
      </c>
    </row>
    <row r="210" spans="1:32" ht="15.75" hidden="1" customHeight="1" thickBot="1">
      <c r="A210" s="193">
        <v>209</v>
      </c>
      <c r="B210" s="379" t="s">
        <v>26</v>
      </c>
      <c r="C210" s="380" t="s">
        <v>1943</v>
      </c>
      <c r="D210" s="380"/>
      <c r="E210" s="381" t="s">
        <v>1936</v>
      </c>
      <c r="F210" s="380" t="s">
        <v>1944</v>
      </c>
      <c r="G210" s="382"/>
      <c r="H210" s="380" t="s">
        <v>1967</v>
      </c>
      <c r="I210" s="381"/>
      <c r="J210" s="383" t="s">
        <v>10</v>
      </c>
      <c r="K210" s="384">
        <f>ROUND($W210/$AF210,0)</f>
        <v>16253</v>
      </c>
      <c r="L210" s="384">
        <f t="shared" ref="L210:V211" si="65">ROUND($W210/$AF210,0)</f>
        <v>16253</v>
      </c>
      <c r="M210" s="384">
        <f t="shared" si="65"/>
        <v>16253</v>
      </c>
      <c r="N210" s="384">
        <f t="shared" si="65"/>
        <v>16253</v>
      </c>
      <c r="O210" s="384">
        <f t="shared" si="65"/>
        <v>16253</v>
      </c>
      <c r="P210" s="384">
        <f t="shared" si="65"/>
        <v>16253</v>
      </c>
      <c r="Q210" s="384">
        <f t="shared" si="65"/>
        <v>16253</v>
      </c>
      <c r="R210" s="384">
        <f t="shared" si="65"/>
        <v>16253</v>
      </c>
      <c r="S210" s="384">
        <f t="shared" si="65"/>
        <v>16253</v>
      </c>
      <c r="T210" s="384">
        <f t="shared" si="65"/>
        <v>16253</v>
      </c>
      <c r="U210" s="384">
        <f t="shared" si="65"/>
        <v>16253</v>
      </c>
      <c r="V210" s="385">
        <f t="shared" si="65"/>
        <v>16253</v>
      </c>
      <c r="W210" s="400">
        <v>195038</v>
      </c>
      <c r="X210" s="205">
        <f t="shared" si="50"/>
        <v>97518</v>
      </c>
      <c r="Y210" s="251" t="s">
        <v>1965</v>
      </c>
      <c r="Z210" s="275"/>
      <c r="AA210" s="218"/>
      <c r="AB210">
        <v>1</v>
      </c>
      <c r="AF210">
        <v>12</v>
      </c>
    </row>
    <row r="211" spans="1:32" ht="15.75" hidden="1" customHeight="1" thickBot="1">
      <c r="A211" s="209">
        <v>210</v>
      </c>
      <c r="B211" s="379" t="s">
        <v>26</v>
      </c>
      <c r="C211" s="380" t="s">
        <v>1943</v>
      </c>
      <c r="D211" s="380"/>
      <c r="E211" s="381" t="s">
        <v>1936</v>
      </c>
      <c r="F211" s="380" t="s">
        <v>1944</v>
      </c>
      <c r="G211" s="382"/>
      <c r="H211" s="380" t="s">
        <v>1967</v>
      </c>
      <c r="I211" s="381"/>
      <c r="J211" s="383" t="s">
        <v>14</v>
      </c>
      <c r="K211" s="384">
        <f>ROUND($W211/$AF211,0)</f>
        <v>236853</v>
      </c>
      <c r="L211" s="384">
        <f t="shared" si="65"/>
        <v>236853</v>
      </c>
      <c r="M211" s="384">
        <f t="shared" si="65"/>
        <v>236853</v>
      </c>
      <c r="N211" s="384">
        <f t="shared" si="65"/>
        <v>236853</v>
      </c>
      <c r="O211" s="384">
        <f t="shared" si="65"/>
        <v>236853</v>
      </c>
      <c r="P211" s="384">
        <f t="shared" si="65"/>
        <v>236853</v>
      </c>
      <c r="Q211" s="384">
        <f t="shared" si="65"/>
        <v>236853</v>
      </c>
      <c r="R211" s="384">
        <f t="shared" si="65"/>
        <v>236853</v>
      </c>
      <c r="S211" s="384">
        <f t="shared" si="65"/>
        <v>236853</v>
      </c>
      <c r="T211" s="384">
        <f t="shared" si="65"/>
        <v>236853</v>
      </c>
      <c r="U211" s="384">
        <f t="shared" si="65"/>
        <v>236853</v>
      </c>
      <c r="V211" s="385">
        <f t="shared" si="65"/>
        <v>236853</v>
      </c>
      <c r="W211" s="400">
        <v>2842238</v>
      </c>
      <c r="X211" s="205">
        <f t="shared" si="50"/>
        <v>1421118</v>
      </c>
      <c r="Y211" s="251" t="s">
        <v>1965</v>
      </c>
      <c r="Z211" s="275"/>
      <c r="AA211" s="218"/>
      <c r="AB211">
        <v>1</v>
      </c>
      <c r="AF211">
        <v>12</v>
      </c>
    </row>
    <row r="212" spans="1:32" ht="15.75" hidden="1" customHeight="1" thickBot="1">
      <c r="A212" s="209">
        <v>211</v>
      </c>
      <c r="B212" s="379" t="s">
        <v>26</v>
      </c>
      <c r="C212" s="380" t="s">
        <v>1943</v>
      </c>
      <c r="D212" s="380"/>
      <c r="E212" s="381" t="s">
        <v>1936</v>
      </c>
      <c r="F212" s="380" t="s">
        <v>1944</v>
      </c>
      <c r="G212" s="382"/>
      <c r="H212" s="380" t="s">
        <v>1967</v>
      </c>
      <c r="I212" s="381"/>
      <c r="J212" s="383" t="s">
        <v>15</v>
      </c>
      <c r="K212" s="384">
        <f>K210/K209</f>
        <v>956.05882352941171</v>
      </c>
      <c r="L212" s="384">
        <f t="shared" ref="L212:V213" si="66">L210/L209</f>
        <v>956.05882352941171</v>
      </c>
      <c r="M212" s="384">
        <f t="shared" si="66"/>
        <v>956.05882352941171</v>
      </c>
      <c r="N212" s="384">
        <f t="shared" si="66"/>
        <v>956.05882352941171</v>
      </c>
      <c r="O212" s="384">
        <f t="shared" si="66"/>
        <v>956.05882352941171</v>
      </c>
      <c r="P212" s="384">
        <f t="shared" si="66"/>
        <v>956.05882352941171</v>
      </c>
      <c r="Q212" s="384">
        <f t="shared" si="66"/>
        <v>956.05882352941171</v>
      </c>
      <c r="R212" s="384">
        <f t="shared" si="66"/>
        <v>956.05882352941171</v>
      </c>
      <c r="S212" s="384">
        <f t="shared" si="66"/>
        <v>956.05882352941171</v>
      </c>
      <c r="T212" s="384">
        <f t="shared" si="66"/>
        <v>956.05882352941171</v>
      </c>
      <c r="U212" s="384">
        <f t="shared" si="66"/>
        <v>956.05882352941171</v>
      </c>
      <c r="V212" s="385">
        <f t="shared" si="66"/>
        <v>956.05882352941171</v>
      </c>
      <c r="W212" s="399">
        <f>W210/W209</f>
        <v>975.19</v>
      </c>
      <c r="X212" s="388">
        <f t="shared" si="50"/>
        <v>5736.3529411764703</v>
      </c>
      <c r="Y212" s="251" t="s">
        <v>1965</v>
      </c>
      <c r="Z212" s="275"/>
      <c r="AA212" s="218"/>
      <c r="AB212">
        <v>2</v>
      </c>
    </row>
    <row r="213" spans="1:32" ht="15.75" hidden="1" customHeight="1" thickBot="1">
      <c r="A213" s="209">
        <v>212</v>
      </c>
      <c r="B213" s="389" t="s">
        <v>26</v>
      </c>
      <c r="C213" s="390" t="s">
        <v>1943</v>
      </c>
      <c r="D213" s="390"/>
      <c r="E213" s="391" t="s">
        <v>1936</v>
      </c>
      <c r="F213" s="390" t="s">
        <v>1944</v>
      </c>
      <c r="G213" s="382"/>
      <c r="H213" s="380" t="s">
        <v>1967</v>
      </c>
      <c r="I213" s="391"/>
      <c r="J213" s="393" t="s">
        <v>16</v>
      </c>
      <c r="K213" s="409">
        <f>K211/K210</f>
        <v>14.572878853134807</v>
      </c>
      <c r="L213" s="409">
        <f t="shared" si="66"/>
        <v>14.572878853134807</v>
      </c>
      <c r="M213" s="409">
        <f t="shared" si="66"/>
        <v>14.572878853134807</v>
      </c>
      <c r="N213" s="409">
        <f t="shared" si="66"/>
        <v>14.572878853134807</v>
      </c>
      <c r="O213" s="409">
        <f t="shared" si="66"/>
        <v>14.572878853134807</v>
      </c>
      <c r="P213" s="409">
        <f t="shared" si="66"/>
        <v>14.572878853134807</v>
      </c>
      <c r="Q213" s="409">
        <f t="shared" si="66"/>
        <v>14.572878853134807</v>
      </c>
      <c r="R213" s="409">
        <f t="shared" si="66"/>
        <v>14.572878853134807</v>
      </c>
      <c r="S213" s="409">
        <f t="shared" si="66"/>
        <v>14.572878853134807</v>
      </c>
      <c r="T213" s="409">
        <f t="shared" si="66"/>
        <v>14.572878853134807</v>
      </c>
      <c r="U213" s="409">
        <f t="shared" si="66"/>
        <v>14.572878853134807</v>
      </c>
      <c r="V213" s="410">
        <f t="shared" si="66"/>
        <v>14.572878853134807</v>
      </c>
      <c r="W213" s="411">
        <f>W211/W210</f>
        <v>14.572739671243552</v>
      </c>
      <c r="X213" s="397">
        <f t="shared" si="50"/>
        <v>87.437273118808847</v>
      </c>
      <c r="Y213" s="251" t="s">
        <v>1965</v>
      </c>
      <c r="Z213" s="279"/>
      <c r="AA213" s="235"/>
      <c r="AB213">
        <v>2</v>
      </c>
    </row>
    <row r="214" spans="1:32" ht="15.75" hidden="1" customHeight="1" thickBot="1">
      <c r="A214" s="209">
        <v>219</v>
      </c>
      <c r="B214" s="371" t="s">
        <v>26</v>
      </c>
      <c r="C214" s="372" t="s">
        <v>1948</v>
      </c>
      <c r="D214" s="372" t="s">
        <v>1978</v>
      </c>
      <c r="E214" s="373" t="s">
        <v>1936</v>
      </c>
      <c r="F214" s="372" t="s">
        <v>1983</v>
      </c>
      <c r="G214" s="374"/>
      <c r="H214" s="372"/>
      <c r="I214" s="373"/>
      <c r="J214" s="375" t="s">
        <v>1947</v>
      </c>
      <c r="K214" s="376"/>
      <c r="L214" s="376"/>
      <c r="M214" s="376"/>
      <c r="N214" s="376"/>
      <c r="O214" s="376"/>
      <c r="P214" s="376"/>
      <c r="Q214" s="376"/>
      <c r="R214" s="376"/>
      <c r="S214" s="376"/>
      <c r="T214" s="376"/>
      <c r="U214" s="376"/>
      <c r="V214" s="377"/>
      <c r="W214" s="398">
        <f>SUM(K214:V214)</f>
        <v>0</v>
      </c>
      <c r="X214" s="205">
        <f t="shared" si="50"/>
        <v>0</v>
      </c>
      <c r="Y214" s="251" t="s">
        <v>1965</v>
      </c>
      <c r="Z214" s="286"/>
      <c r="AA214" s="244"/>
      <c r="AB214">
        <v>1</v>
      </c>
    </row>
    <row r="215" spans="1:32" ht="15.75" hidden="1" customHeight="1" thickBot="1">
      <c r="A215" s="209">
        <v>220</v>
      </c>
      <c r="B215" s="379" t="s">
        <v>26</v>
      </c>
      <c r="C215" s="380" t="s">
        <v>1948</v>
      </c>
      <c r="D215" s="380" t="s">
        <v>1978</v>
      </c>
      <c r="E215" s="381" t="s">
        <v>1936</v>
      </c>
      <c r="F215" s="380" t="s">
        <v>1983</v>
      </c>
      <c r="G215" s="382"/>
      <c r="H215" s="380"/>
      <c r="I215" s="381"/>
      <c r="J215" s="383" t="s">
        <v>9</v>
      </c>
      <c r="K215" s="384"/>
      <c r="L215" s="384"/>
      <c r="M215" s="384"/>
      <c r="N215" s="384"/>
      <c r="O215" s="384"/>
      <c r="P215" s="384"/>
      <c r="Q215" s="384"/>
      <c r="R215" s="384"/>
      <c r="S215" s="384"/>
      <c r="T215" s="384"/>
      <c r="U215" s="384"/>
      <c r="V215" s="385"/>
      <c r="W215" s="399">
        <f>SUM(K215:V215)</f>
        <v>0</v>
      </c>
      <c r="X215" s="205">
        <f t="shared" si="50"/>
        <v>0</v>
      </c>
      <c r="Y215" s="251" t="s">
        <v>1965</v>
      </c>
      <c r="Z215" s="275"/>
      <c r="AA215" s="218"/>
      <c r="AB215">
        <v>1</v>
      </c>
    </row>
    <row r="216" spans="1:32" ht="15.75" hidden="1" customHeight="1" thickBot="1">
      <c r="A216" s="193">
        <v>221</v>
      </c>
      <c r="B216" s="379" t="s">
        <v>26</v>
      </c>
      <c r="C216" s="380" t="s">
        <v>1948</v>
      </c>
      <c r="D216" s="380" t="s">
        <v>1978</v>
      </c>
      <c r="E216" s="381" t="s">
        <v>1936</v>
      </c>
      <c r="F216" s="380" t="s">
        <v>1983</v>
      </c>
      <c r="G216" s="382"/>
      <c r="H216" s="380"/>
      <c r="I216" s="381"/>
      <c r="J216" s="383" t="s">
        <v>10</v>
      </c>
      <c r="K216" s="384">
        <f t="shared" ref="K216:V216" si="67">$W$216/$AF$216</f>
        <v>1098.0833333333333</v>
      </c>
      <c r="L216" s="384">
        <f t="shared" si="67"/>
        <v>1098.0833333333333</v>
      </c>
      <c r="M216" s="384">
        <f t="shared" si="67"/>
        <v>1098.0833333333333</v>
      </c>
      <c r="N216" s="384">
        <f t="shared" si="67"/>
        <v>1098.0833333333333</v>
      </c>
      <c r="O216" s="384">
        <f t="shared" si="67"/>
        <v>1098.0833333333333</v>
      </c>
      <c r="P216" s="384">
        <f t="shared" si="67"/>
        <v>1098.0833333333333</v>
      </c>
      <c r="Q216" s="384">
        <f t="shared" si="67"/>
        <v>1098.0833333333333</v>
      </c>
      <c r="R216" s="384">
        <f t="shared" si="67"/>
        <v>1098.0833333333333</v>
      </c>
      <c r="S216" s="384">
        <f t="shared" si="67"/>
        <v>1098.0833333333333</v>
      </c>
      <c r="T216" s="384">
        <f t="shared" si="67"/>
        <v>1098.0833333333333</v>
      </c>
      <c r="U216" s="384">
        <f t="shared" si="67"/>
        <v>1098.0833333333333</v>
      </c>
      <c r="V216" s="385">
        <f t="shared" si="67"/>
        <v>1098.0833333333333</v>
      </c>
      <c r="W216" s="400">
        <v>13177</v>
      </c>
      <c r="X216" s="205">
        <f t="shared" si="50"/>
        <v>6588.4999999999991</v>
      </c>
      <c r="Y216" s="251" t="s">
        <v>1965</v>
      </c>
      <c r="Z216" s="275"/>
      <c r="AA216" s="218"/>
      <c r="AB216">
        <v>1</v>
      </c>
      <c r="AF216">
        <v>12</v>
      </c>
    </row>
    <row r="217" spans="1:32" ht="15.75" hidden="1" customHeight="1" thickBot="1">
      <c r="A217" s="209">
        <v>222</v>
      </c>
      <c r="B217" s="379" t="s">
        <v>26</v>
      </c>
      <c r="C217" s="380" t="s">
        <v>1948</v>
      </c>
      <c r="D217" s="380" t="s">
        <v>1978</v>
      </c>
      <c r="E217" s="381" t="s">
        <v>1936</v>
      </c>
      <c r="F217" s="380" t="s">
        <v>1983</v>
      </c>
      <c r="G217" s="382"/>
      <c r="H217" s="380"/>
      <c r="I217" s="381"/>
      <c r="J217" s="383" t="s">
        <v>14</v>
      </c>
      <c r="K217" s="384">
        <f t="shared" ref="K217:V217" si="68">$W$217/$AF$217</f>
        <v>43083.333333333336</v>
      </c>
      <c r="L217" s="384">
        <f t="shared" si="68"/>
        <v>43083.333333333336</v>
      </c>
      <c r="M217" s="384">
        <f t="shared" si="68"/>
        <v>43083.333333333336</v>
      </c>
      <c r="N217" s="384">
        <f t="shared" si="68"/>
        <v>43083.333333333336</v>
      </c>
      <c r="O217" s="384">
        <f t="shared" si="68"/>
        <v>43083.333333333336</v>
      </c>
      <c r="P217" s="384">
        <f t="shared" si="68"/>
        <v>43083.333333333336</v>
      </c>
      <c r="Q217" s="384">
        <f t="shared" si="68"/>
        <v>43083.333333333336</v>
      </c>
      <c r="R217" s="384">
        <f t="shared" si="68"/>
        <v>43083.333333333336</v>
      </c>
      <c r="S217" s="384">
        <f t="shared" si="68"/>
        <v>43083.333333333336</v>
      </c>
      <c r="T217" s="384">
        <f t="shared" si="68"/>
        <v>43083.333333333336</v>
      </c>
      <c r="U217" s="384">
        <f t="shared" si="68"/>
        <v>43083.333333333336</v>
      </c>
      <c r="V217" s="385">
        <f t="shared" si="68"/>
        <v>43083.333333333336</v>
      </c>
      <c r="W217" s="400">
        <v>517000</v>
      </c>
      <c r="X217" s="205">
        <f t="shared" si="50"/>
        <v>258500.00000000003</v>
      </c>
      <c r="Y217" s="251" t="s">
        <v>1965</v>
      </c>
      <c r="Z217" s="275"/>
      <c r="AA217" s="218"/>
      <c r="AB217">
        <v>1</v>
      </c>
      <c r="AF217">
        <v>12</v>
      </c>
    </row>
    <row r="218" spans="1:32" ht="15.75" hidden="1" customHeight="1" thickBot="1">
      <c r="A218" s="209">
        <v>223</v>
      </c>
      <c r="B218" s="379" t="s">
        <v>26</v>
      </c>
      <c r="C218" s="380" t="s">
        <v>1948</v>
      </c>
      <c r="D218" s="380" t="s">
        <v>1978</v>
      </c>
      <c r="E218" s="381" t="s">
        <v>1936</v>
      </c>
      <c r="F218" s="380" t="s">
        <v>1983</v>
      </c>
      <c r="G218" s="382"/>
      <c r="H218" s="380"/>
      <c r="I218" s="381"/>
      <c r="J218" s="383" t="s">
        <v>1981</v>
      </c>
      <c r="K218" s="384"/>
      <c r="L218" s="384"/>
      <c r="M218" s="384"/>
      <c r="N218" s="384"/>
      <c r="O218" s="384"/>
      <c r="P218" s="384"/>
      <c r="Q218" s="384"/>
      <c r="R218" s="384"/>
      <c r="S218" s="384"/>
      <c r="T218" s="384"/>
      <c r="U218" s="384"/>
      <c r="V218" s="385"/>
      <c r="W218" s="399">
        <f>SUM(K218:V218)</f>
        <v>0</v>
      </c>
      <c r="X218" s="205">
        <f t="shared" si="50"/>
        <v>0</v>
      </c>
      <c r="Y218" s="251" t="s">
        <v>1965</v>
      </c>
      <c r="Z218" s="275"/>
      <c r="AA218" s="218"/>
      <c r="AB218">
        <v>1</v>
      </c>
    </row>
    <row r="219" spans="1:32" ht="15.75" hidden="1" customHeight="1" thickBot="1">
      <c r="A219" s="209">
        <v>224</v>
      </c>
      <c r="B219" s="379" t="s">
        <v>26</v>
      </c>
      <c r="C219" s="380" t="s">
        <v>1948</v>
      </c>
      <c r="D219" s="380" t="s">
        <v>1978</v>
      </c>
      <c r="E219" s="381" t="s">
        <v>1936</v>
      </c>
      <c r="F219" s="380" t="s">
        <v>1983</v>
      </c>
      <c r="G219" s="382"/>
      <c r="H219" s="380"/>
      <c r="I219" s="381"/>
      <c r="J219" s="383" t="s">
        <v>1984</v>
      </c>
      <c r="K219" s="384"/>
      <c r="L219" s="384"/>
      <c r="M219" s="384"/>
      <c r="N219" s="384"/>
      <c r="O219" s="384"/>
      <c r="P219" s="384"/>
      <c r="Q219" s="384"/>
      <c r="R219" s="384"/>
      <c r="S219" s="384"/>
      <c r="T219" s="384"/>
      <c r="U219" s="384"/>
      <c r="V219" s="385"/>
      <c r="W219" s="399">
        <f>SUM(K219:V219)</f>
        <v>0</v>
      </c>
      <c r="X219" s="205">
        <f t="shared" si="50"/>
        <v>0</v>
      </c>
      <c r="Y219" s="251" t="s">
        <v>1965</v>
      </c>
      <c r="Z219" s="275"/>
      <c r="AA219" s="218"/>
      <c r="AB219">
        <v>1</v>
      </c>
    </row>
    <row r="220" spans="1:32" ht="15.75" hidden="1" customHeight="1" thickBot="1">
      <c r="A220" s="193">
        <v>225</v>
      </c>
      <c r="B220" s="379" t="s">
        <v>26</v>
      </c>
      <c r="C220" s="380" t="s">
        <v>1948</v>
      </c>
      <c r="D220" s="380" t="s">
        <v>1978</v>
      </c>
      <c r="E220" s="381" t="s">
        <v>1936</v>
      </c>
      <c r="F220" s="380" t="s">
        <v>1983</v>
      </c>
      <c r="G220" s="382"/>
      <c r="H220" s="380"/>
      <c r="I220" s="381"/>
      <c r="J220" s="383" t="s">
        <v>15</v>
      </c>
      <c r="K220" s="384">
        <f>IF(K215=0,0,IF(K216=0,0,K216/K215))</f>
        <v>0</v>
      </c>
      <c r="L220" s="384">
        <f t="shared" ref="L220:W220" si="69">IF(L215=0,0,IF(L216=0,0,L216/L215))</f>
        <v>0</v>
      </c>
      <c r="M220" s="384">
        <f t="shared" si="69"/>
        <v>0</v>
      </c>
      <c r="N220" s="384">
        <f t="shared" si="69"/>
        <v>0</v>
      </c>
      <c r="O220" s="384">
        <f t="shared" si="69"/>
        <v>0</v>
      </c>
      <c r="P220" s="384">
        <f t="shared" si="69"/>
        <v>0</v>
      </c>
      <c r="Q220" s="384">
        <f t="shared" si="69"/>
        <v>0</v>
      </c>
      <c r="R220" s="384">
        <f t="shared" si="69"/>
        <v>0</v>
      </c>
      <c r="S220" s="384">
        <f t="shared" si="69"/>
        <v>0</v>
      </c>
      <c r="T220" s="384">
        <f t="shared" si="69"/>
        <v>0</v>
      </c>
      <c r="U220" s="384">
        <f t="shared" si="69"/>
        <v>0</v>
      </c>
      <c r="V220" s="385">
        <f t="shared" si="69"/>
        <v>0</v>
      </c>
      <c r="W220" s="399">
        <f t="shared" si="69"/>
        <v>0</v>
      </c>
      <c r="X220" s="324">
        <f t="shared" si="50"/>
        <v>0</v>
      </c>
      <c r="Y220" s="251" t="s">
        <v>1965</v>
      </c>
      <c r="Z220" s="275"/>
      <c r="AA220" s="218"/>
      <c r="AB220">
        <v>2</v>
      </c>
    </row>
    <row r="221" spans="1:32" ht="15.75" hidden="1" customHeight="1" thickBot="1">
      <c r="A221" s="209">
        <v>226</v>
      </c>
      <c r="B221" s="389" t="s">
        <v>26</v>
      </c>
      <c r="C221" s="390" t="s">
        <v>1948</v>
      </c>
      <c r="D221" s="390" t="s">
        <v>1978</v>
      </c>
      <c r="E221" s="391" t="s">
        <v>1936</v>
      </c>
      <c r="F221" s="390" t="s">
        <v>1983</v>
      </c>
      <c r="G221" s="392"/>
      <c r="H221" s="390"/>
      <c r="I221" s="391"/>
      <c r="J221" s="393" t="s">
        <v>16</v>
      </c>
      <c r="K221" s="409">
        <f>(K217+K219-K218)/K216</f>
        <v>39.235030735372241</v>
      </c>
      <c r="L221" s="409">
        <f t="shared" ref="L221:W221" si="70">(L217+L219-L218)/L216</f>
        <v>39.235030735372241</v>
      </c>
      <c r="M221" s="409">
        <f t="shared" si="70"/>
        <v>39.235030735372241</v>
      </c>
      <c r="N221" s="409">
        <f t="shared" si="70"/>
        <v>39.235030735372241</v>
      </c>
      <c r="O221" s="409">
        <f t="shared" si="70"/>
        <v>39.235030735372241</v>
      </c>
      <c r="P221" s="409">
        <f t="shared" si="70"/>
        <v>39.235030735372241</v>
      </c>
      <c r="Q221" s="409">
        <f t="shared" si="70"/>
        <v>39.235030735372241</v>
      </c>
      <c r="R221" s="409">
        <f t="shared" si="70"/>
        <v>39.235030735372241</v>
      </c>
      <c r="S221" s="409">
        <f t="shared" si="70"/>
        <v>39.235030735372241</v>
      </c>
      <c r="T221" s="409">
        <f t="shared" si="70"/>
        <v>39.235030735372241</v>
      </c>
      <c r="U221" s="409">
        <f t="shared" si="70"/>
        <v>39.235030735372241</v>
      </c>
      <c r="V221" s="410">
        <f t="shared" si="70"/>
        <v>39.235030735372241</v>
      </c>
      <c r="W221" s="411">
        <f t="shared" si="70"/>
        <v>39.235030735372241</v>
      </c>
      <c r="X221" s="412">
        <f t="shared" si="50"/>
        <v>235.41018441223346</v>
      </c>
      <c r="Y221" s="251" t="s">
        <v>1965</v>
      </c>
      <c r="Z221" s="279"/>
      <c r="AA221" s="235"/>
      <c r="AB221">
        <v>2</v>
      </c>
    </row>
    <row r="222" spans="1:32" ht="15.75" customHeight="1" thickBot="1">
      <c r="A222" s="209">
        <v>227</v>
      </c>
      <c r="B222" s="371" t="s">
        <v>26</v>
      </c>
      <c r="C222" s="372" t="s">
        <v>1931</v>
      </c>
      <c r="D222" s="372"/>
      <c r="E222" s="373" t="s">
        <v>17</v>
      </c>
      <c r="F222" s="372" t="s">
        <v>1952</v>
      </c>
      <c r="G222" s="374"/>
      <c r="H222" s="372"/>
      <c r="I222" s="373"/>
      <c r="J222" s="375" t="s">
        <v>18</v>
      </c>
      <c r="K222" s="376"/>
      <c r="L222" s="376"/>
      <c r="M222" s="376"/>
      <c r="N222" s="376"/>
      <c r="O222" s="376"/>
      <c r="P222" s="376"/>
      <c r="Q222" s="376"/>
      <c r="R222" s="376"/>
      <c r="S222" s="376"/>
      <c r="T222" s="376"/>
      <c r="U222" s="376"/>
      <c r="V222" s="377"/>
      <c r="W222" s="398">
        <f>SUM(K222:V222)</f>
        <v>0</v>
      </c>
      <c r="X222" s="205">
        <f t="shared" si="50"/>
        <v>0</v>
      </c>
      <c r="Y222" s="251" t="s">
        <v>1965</v>
      </c>
      <c r="Z222" s="286"/>
      <c r="AA222" s="244"/>
      <c r="AB222">
        <v>1</v>
      </c>
    </row>
    <row r="223" spans="1:32" ht="15.75" customHeight="1" thickBot="1">
      <c r="A223" s="209">
        <v>228</v>
      </c>
      <c r="B223" s="379" t="s">
        <v>26</v>
      </c>
      <c r="C223" s="380" t="s">
        <v>1931</v>
      </c>
      <c r="D223" s="380"/>
      <c r="E223" s="381" t="s">
        <v>17</v>
      </c>
      <c r="F223" s="380" t="s">
        <v>1952</v>
      </c>
      <c r="G223" s="382"/>
      <c r="H223" s="380"/>
      <c r="I223" s="381"/>
      <c r="J223" s="383" t="s">
        <v>10</v>
      </c>
      <c r="K223" s="384">
        <f t="shared" ref="K223:V223" si="71">$W$223/$AF$223</f>
        <v>52058.333333333336</v>
      </c>
      <c r="L223" s="384">
        <f t="shared" si="71"/>
        <v>52058.333333333336</v>
      </c>
      <c r="M223" s="384">
        <f t="shared" si="71"/>
        <v>52058.333333333336</v>
      </c>
      <c r="N223" s="384">
        <f t="shared" si="71"/>
        <v>52058.333333333336</v>
      </c>
      <c r="O223" s="384">
        <f t="shared" si="71"/>
        <v>52058.333333333336</v>
      </c>
      <c r="P223" s="384">
        <f t="shared" si="71"/>
        <v>52058.333333333336</v>
      </c>
      <c r="Q223" s="384">
        <f t="shared" si="71"/>
        <v>52058.333333333336</v>
      </c>
      <c r="R223" s="384">
        <f t="shared" si="71"/>
        <v>52058.333333333336</v>
      </c>
      <c r="S223" s="384">
        <f t="shared" si="71"/>
        <v>52058.333333333336</v>
      </c>
      <c r="T223" s="384">
        <f t="shared" si="71"/>
        <v>52058.333333333336</v>
      </c>
      <c r="U223" s="384">
        <f t="shared" si="71"/>
        <v>52058.333333333336</v>
      </c>
      <c r="V223" s="385">
        <f t="shared" si="71"/>
        <v>52058.333333333336</v>
      </c>
      <c r="W223" s="400">
        <v>624700</v>
      </c>
      <c r="X223" s="205">
        <f t="shared" si="50"/>
        <v>312350</v>
      </c>
      <c r="Y223" s="251" t="s">
        <v>1965</v>
      </c>
      <c r="Z223" s="275"/>
      <c r="AA223" s="218"/>
      <c r="AB223">
        <v>1</v>
      </c>
      <c r="AF223">
        <v>12</v>
      </c>
    </row>
    <row r="224" spans="1:32" ht="15.75" customHeight="1" thickBot="1">
      <c r="A224" s="229">
        <v>229</v>
      </c>
      <c r="B224" s="413" t="s">
        <v>26</v>
      </c>
      <c r="C224" s="414" t="s">
        <v>1931</v>
      </c>
      <c r="D224" s="414"/>
      <c r="E224" s="415" t="s">
        <v>17</v>
      </c>
      <c r="F224" s="414" t="s">
        <v>1952</v>
      </c>
      <c r="G224" s="416"/>
      <c r="H224" s="414"/>
      <c r="I224" s="415"/>
      <c r="J224" s="417" t="s">
        <v>14</v>
      </c>
      <c r="K224" s="418">
        <f t="shared" ref="K224:V224" si="72">$W$224/$AF$224</f>
        <v>723000</v>
      </c>
      <c r="L224" s="418">
        <f t="shared" si="72"/>
        <v>723000</v>
      </c>
      <c r="M224" s="418">
        <f t="shared" si="72"/>
        <v>723000</v>
      </c>
      <c r="N224" s="418">
        <f t="shared" si="72"/>
        <v>723000</v>
      </c>
      <c r="O224" s="418">
        <f t="shared" si="72"/>
        <v>723000</v>
      </c>
      <c r="P224" s="418">
        <f t="shared" si="72"/>
        <v>723000</v>
      </c>
      <c r="Q224" s="418">
        <f t="shared" si="72"/>
        <v>723000</v>
      </c>
      <c r="R224" s="418">
        <f t="shared" si="72"/>
        <v>723000</v>
      </c>
      <c r="S224" s="418">
        <f t="shared" si="72"/>
        <v>723000</v>
      </c>
      <c r="T224" s="418">
        <f t="shared" si="72"/>
        <v>723000</v>
      </c>
      <c r="U224" s="418">
        <f t="shared" si="72"/>
        <v>723000</v>
      </c>
      <c r="V224" s="419">
        <f t="shared" si="72"/>
        <v>723000</v>
      </c>
      <c r="W224" s="420">
        <v>8676000</v>
      </c>
      <c r="X224" s="205">
        <f t="shared" si="50"/>
        <v>4338000</v>
      </c>
      <c r="Y224" s="251" t="s">
        <v>1965</v>
      </c>
      <c r="Z224" s="279"/>
      <c r="AA224" s="235"/>
      <c r="AB224">
        <v>1</v>
      </c>
      <c r="AF224">
        <v>12</v>
      </c>
    </row>
    <row r="225" spans="1:32" ht="15.75" customHeight="1" thickBot="1">
      <c r="A225" s="229">
        <v>229</v>
      </c>
      <c r="B225" s="413" t="s">
        <v>26</v>
      </c>
      <c r="C225" s="414" t="s">
        <v>1931</v>
      </c>
      <c r="D225" s="414"/>
      <c r="E225" s="415" t="s">
        <v>17</v>
      </c>
      <c r="F225" s="414" t="s">
        <v>1952</v>
      </c>
      <c r="G225" s="416"/>
      <c r="H225" s="414"/>
      <c r="I225" s="415"/>
      <c r="J225" s="393" t="s">
        <v>16</v>
      </c>
      <c r="K225" s="421">
        <f>K224/K223</f>
        <v>13.88826636785657</v>
      </c>
      <c r="L225" s="421">
        <f t="shared" ref="L225:W225" si="73">L224/L223</f>
        <v>13.88826636785657</v>
      </c>
      <c r="M225" s="421">
        <f t="shared" si="73"/>
        <v>13.88826636785657</v>
      </c>
      <c r="N225" s="421">
        <f t="shared" si="73"/>
        <v>13.88826636785657</v>
      </c>
      <c r="O225" s="421">
        <f t="shared" si="73"/>
        <v>13.88826636785657</v>
      </c>
      <c r="P225" s="421">
        <f t="shared" si="73"/>
        <v>13.88826636785657</v>
      </c>
      <c r="Q225" s="421">
        <f t="shared" si="73"/>
        <v>13.88826636785657</v>
      </c>
      <c r="R225" s="421">
        <f t="shared" si="73"/>
        <v>13.88826636785657</v>
      </c>
      <c r="S225" s="421">
        <f t="shared" si="73"/>
        <v>13.88826636785657</v>
      </c>
      <c r="T225" s="421">
        <f t="shared" si="73"/>
        <v>13.88826636785657</v>
      </c>
      <c r="U225" s="421">
        <f t="shared" si="73"/>
        <v>13.88826636785657</v>
      </c>
      <c r="V225" s="421">
        <f t="shared" si="73"/>
        <v>13.88826636785657</v>
      </c>
      <c r="W225" s="421">
        <f t="shared" si="73"/>
        <v>13.888266367856572</v>
      </c>
      <c r="X225" s="421">
        <f t="shared" si="50"/>
        <v>83.329598207139426</v>
      </c>
      <c r="Y225" s="251"/>
      <c r="Z225" s="307"/>
      <c r="AA225" s="345"/>
      <c r="AB225">
        <v>2</v>
      </c>
    </row>
    <row r="226" spans="1:32" ht="15.75" hidden="1" customHeight="1" thickBot="1">
      <c r="A226" s="236">
        <v>230</v>
      </c>
      <c r="B226" s="371" t="s">
        <v>26</v>
      </c>
      <c r="C226" s="372" t="s">
        <v>1955</v>
      </c>
      <c r="D226" s="372"/>
      <c r="E226" s="373" t="s">
        <v>17</v>
      </c>
      <c r="F226" s="372" t="s">
        <v>1956</v>
      </c>
      <c r="G226" s="374" t="s">
        <v>1957</v>
      </c>
      <c r="H226" s="372"/>
      <c r="I226" s="373"/>
      <c r="J226" s="375" t="s">
        <v>18</v>
      </c>
      <c r="K226" s="376"/>
      <c r="L226" s="376"/>
      <c r="M226" s="376"/>
      <c r="N226" s="376"/>
      <c r="O226" s="376"/>
      <c r="P226" s="376"/>
      <c r="Q226" s="376"/>
      <c r="R226" s="376"/>
      <c r="S226" s="376"/>
      <c r="T226" s="376"/>
      <c r="U226" s="376"/>
      <c r="V226" s="377"/>
      <c r="W226" s="398">
        <f>SUM(K226:V226)</f>
        <v>0</v>
      </c>
      <c r="X226" s="205">
        <f t="shared" si="50"/>
        <v>0</v>
      </c>
      <c r="Y226" s="251" t="s">
        <v>1965</v>
      </c>
      <c r="Z226" s="286"/>
      <c r="AA226" s="244"/>
      <c r="AB226">
        <v>1</v>
      </c>
    </row>
    <row r="227" spans="1:32" ht="15.75" hidden="1" customHeight="1" thickBot="1">
      <c r="A227" s="209">
        <v>231</v>
      </c>
      <c r="B227" s="379" t="s">
        <v>26</v>
      </c>
      <c r="C227" s="380" t="s">
        <v>1955</v>
      </c>
      <c r="D227" s="380"/>
      <c r="E227" s="381" t="s">
        <v>17</v>
      </c>
      <c r="F227" s="380" t="s">
        <v>1956</v>
      </c>
      <c r="G227" s="382" t="s">
        <v>1957</v>
      </c>
      <c r="H227" s="380"/>
      <c r="I227" s="381"/>
      <c r="J227" s="383" t="s">
        <v>10</v>
      </c>
      <c r="K227" s="384">
        <f t="shared" ref="K227:V227" si="74">$W$227/$AF$227</f>
        <v>10134.083333333334</v>
      </c>
      <c r="L227" s="384">
        <f t="shared" si="74"/>
        <v>10134.083333333334</v>
      </c>
      <c r="M227" s="384">
        <f t="shared" si="74"/>
        <v>10134.083333333334</v>
      </c>
      <c r="N227" s="384">
        <f t="shared" si="74"/>
        <v>10134.083333333334</v>
      </c>
      <c r="O227" s="384">
        <f t="shared" si="74"/>
        <v>10134.083333333334</v>
      </c>
      <c r="P227" s="384">
        <f t="shared" si="74"/>
        <v>10134.083333333334</v>
      </c>
      <c r="Q227" s="384">
        <f t="shared" si="74"/>
        <v>10134.083333333334</v>
      </c>
      <c r="R227" s="384">
        <f t="shared" si="74"/>
        <v>10134.083333333334</v>
      </c>
      <c r="S227" s="384">
        <f t="shared" si="74"/>
        <v>10134.083333333334</v>
      </c>
      <c r="T227" s="384">
        <f t="shared" si="74"/>
        <v>10134.083333333334</v>
      </c>
      <c r="U227" s="384">
        <f t="shared" si="74"/>
        <v>10134.083333333334</v>
      </c>
      <c r="V227" s="385">
        <f t="shared" si="74"/>
        <v>10134.083333333334</v>
      </c>
      <c r="W227" s="400">
        <v>121609</v>
      </c>
      <c r="X227" s="205">
        <f t="shared" si="50"/>
        <v>60804.500000000007</v>
      </c>
      <c r="Y227" s="251" t="s">
        <v>1965</v>
      </c>
      <c r="Z227" s="275"/>
      <c r="AA227" s="218"/>
      <c r="AB227">
        <v>1</v>
      </c>
      <c r="AF227">
        <v>12</v>
      </c>
    </row>
    <row r="228" spans="1:32" ht="15.75" hidden="1" customHeight="1" thickBot="1">
      <c r="A228" s="209">
        <v>232</v>
      </c>
      <c r="B228" s="379" t="s">
        <v>26</v>
      </c>
      <c r="C228" s="380" t="s">
        <v>1955</v>
      </c>
      <c r="D228" s="380"/>
      <c r="E228" s="381" t="s">
        <v>17</v>
      </c>
      <c r="F228" s="380" t="s">
        <v>1956</v>
      </c>
      <c r="G228" s="382" t="s">
        <v>1957</v>
      </c>
      <c r="H228" s="380"/>
      <c r="I228" s="381"/>
      <c r="J228" s="383" t="s">
        <v>1958</v>
      </c>
      <c r="K228" s="384"/>
      <c r="L228" s="384"/>
      <c r="M228" s="384"/>
      <c r="N228" s="384"/>
      <c r="O228" s="384"/>
      <c r="P228" s="384"/>
      <c r="Q228" s="384"/>
      <c r="R228" s="384"/>
      <c r="S228" s="384"/>
      <c r="T228" s="384"/>
      <c r="U228" s="384"/>
      <c r="V228" s="385"/>
      <c r="W228" s="399">
        <f>SUM(K228:V228)</f>
        <v>0</v>
      </c>
      <c r="X228" s="205">
        <f t="shared" si="50"/>
        <v>0</v>
      </c>
      <c r="Y228" s="251" t="s">
        <v>1965</v>
      </c>
      <c r="Z228" s="275"/>
      <c r="AA228" s="218"/>
      <c r="AB228">
        <v>1</v>
      </c>
    </row>
    <row r="229" spans="1:32" ht="15.75" hidden="1" customHeight="1" thickBot="1">
      <c r="A229" s="193">
        <v>233</v>
      </c>
      <c r="B229" s="413" t="s">
        <v>26</v>
      </c>
      <c r="C229" s="414" t="s">
        <v>1955</v>
      </c>
      <c r="D229" s="414"/>
      <c r="E229" s="415" t="s">
        <v>17</v>
      </c>
      <c r="F229" s="414" t="s">
        <v>1956</v>
      </c>
      <c r="G229" s="416" t="s">
        <v>1957</v>
      </c>
      <c r="H229" s="414"/>
      <c r="I229" s="415"/>
      <c r="J229" s="417" t="s">
        <v>14</v>
      </c>
      <c r="K229" s="418">
        <f t="shared" ref="K229:V229" si="75">$W$229/$AF$229</f>
        <v>294500</v>
      </c>
      <c r="L229" s="418">
        <f t="shared" si="75"/>
        <v>294500</v>
      </c>
      <c r="M229" s="418">
        <f t="shared" si="75"/>
        <v>294500</v>
      </c>
      <c r="N229" s="418">
        <f t="shared" si="75"/>
        <v>294500</v>
      </c>
      <c r="O229" s="418">
        <f t="shared" si="75"/>
        <v>294500</v>
      </c>
      <c r="P229" s="418">
        <f t="shared" si="75"/>
        <v>294500</v>
      </c>
      <c r="Q229" s="418">
        <f t="shared" si="75"/>
        <v>294500</v>
      </c>
      <c r="R229" s="418">
        <f t="shared" si="75"/>
        <v>294500</v>
      </c>
      <c r="S229" s="418">
        <f t="shared" si="75"/>
        <v>294500</v>
      </c>
      <c r="T229" s="418">
        <f t="shared" si="75"/>
        <v>294500</v>
      </c>
      <c r="U229" s="418">
        <f t="shared" si="75"/>
        <v>294500</v>
      </c>
      <c r="V229" s="419">
        <f t="shared" si="75"/>
        <v>294500</v>
      </c>
      <c r="W229" s="420">
        <v>3534000</v>
      </c>
      <c r="X229" s="205">
        <f t="shared" si="50"/>
        <v>1767000</v>
      </c>
      <c r="Y229" s="251" t="s">
        <v>1965</v>
      </c>
      <c r="Z229" s="311"/>
      <c r="AA229" s="235"/>
      <c r="AB229">
        <v>1</v>
      </c>
      <c r="AF229">
        <v>12</v>
      </c>
    </row>
    <row r="230" spans="1:32" ht="15.75" hidden="1" customHeight="1" thickBot="1">
      <c r="A230" s="209">
        <v>234</v>
      </c>
      <c r="B230" s="413" t="s">
        <v>26</v>
      </c>
      <c r="C230" s="414" t="s">
        <v>1955</v>
      </c>
      <c r="D230" s="414"/>
      <c r="E230" s="415" t="s">
        <v>17</v>
      </c>
      <c r="F230" s="414" t="s">
        <v>1956</v>
      </c>
      <c r="G230" s="416" t="s">
        <v>1957</v>
      </c>
      <c r="H230" s="414"/>
      <c r="I230" s="415"/>
      <c r="J230" s="383" t="s">
        <v>19</v>
      </c>
      <c r="K230" s="418">
        <f>IF(K226=0,0,IF(K227=0,0,K227/K226))</f>
        <v>0</v>
      </c>
      <c r="L230" s="418">
        <f t="shared" ref="L230:W230" si="76">IF(L226=0,0,IF(L227=0,0,L227/L226))</f>
        <v>0</v>
      </c>
      <c r="M230" s="418">
        <f t="shared" si="76"/>
        <v>0</v>
      </c>
      <c r="N230" s="418">
        <f t="shared" si="76"/>
        <v>0</v>
      </c>
      <c r="O230" s="418">
        <f t="shared" si="76"/>
        <v>0</v>
      </c>
      <c r="P230" s="418">
        <f t="shared" si="76"/>
        <v>0</v>
      </c>
      <c r="Q230" s="418">
        <f t="shared" si="76"/>
        <v>0</v>
      </c>
      <c r="R230" s="418">
        <f t="shared" si="76"/>
        <v>0</v>
      </c>
      <c r="S230" s="418">
        <f t="shared" si="76"/>
        <v>0</v>
      </c>
      <c r="T230" s="418">
        <f t="shared" si="76"/>
        <v>0</v>
      </c>
      <c r="U230" s="418">
        <f t="shared" si="76"/>
        <v>0</v>
      </c>
      <c r="V230" s="419">
        <f t="shared" si="76"/>
        <v>0</v>
      </c>
      <c r="W230" s="422">
        <f t="shared" si="76"/>
        <v>0</v>
      </c>
      <c r="X230" s="423">
        <f t="shared" si="50"/>
        <v>0</v>
      </c>
      <c r="Y230" s="251" t="s">
        <v>1965</v>
      </c>
      <c r="Z230" s="307"/>
      <c r="AA230" s="345"/>
      <c r="AB230">
        <v>2</v>
      </c>
    </row>
    <row r="231" spans="1:32" ht="15.75" hidden="1" customHeight="1" thickBot="1">
      <c r="A231" s="249">
        <v>235</v>
      </c>
      <c r="B231" s="389" t="s">
        <v>26</v>
      </c>
      <c r="C231" s="390" t="s">
        <v>1955</v>
      </c>
      <c r="D231" s="390"/>
      <c r="E231" s="391" t="s">
        <v>17</v>
      </c>
      <c r="F231" s="390" t="s">
        <v>1956</v>
      </c>
      <c r="G231" s="392" t="s">
        <v>1957</v>
      </c>
      <c r="H231" s="390"/>
      <c r="I231" s="391"/>
      <c r="J231" s="393" t="s">
        <v>16</v>
      </c>
      <c r="K231" s="409">
        <f>IF(K227=0,0,IF(K229=0,0,K229/K227))</f>
        <v>29.060349151789751</v>
      </c>
      <c r="L231" s="409">
        <f t="shared" ref="L231:W231" si="77">IF(L227=0,0,IF(L229=0,0,L229/L227))</f>
        <v>29.060349151789751</v>
      </c>
      <c r="M231" s="409">
        <f t="shared" si="77"/>
        <v>29.060349151789751</v>
      </c>
      <c r="N231" s="409">
        <f t="shared" si="77"/>
        <v>29.060349151789751</v>
      </c>
      <c r="O231" s="409">
        <f t="shared" si="77"/>
        <v>29.060349151789751</v>
      </c>
      <c r="P231" s="409">
        <f t="shared" si="77"/>
        <v>29.060349151789751</v>
      </c>
      <c r="Q231" s="409">
        <f t="shared" si="77"/>
        <v>29.060349151789751</v>
      </c>
      <c r="R231" s="409">
        <f t="shared" si="77"/>
        <v>29.060349151789751</v>
      </c>
      <c r="S231" s="409">
        <f t="shared" si="77"/>
        <v>29.060349151789751</v>
      </c>
      <c r="T231" s="409">
        <f t="shared" si="77"/>
        <v>29.060349151789751</v>
      </c>
      <c r="U231" s="409">
        <f t="shared" si="77"/>
        <v>29.060349151789751</v>
      </c>
      <c r="V231" s="410">
        <f t="shared" si="77"/>
        <v>29.060349151789751</v>
      </c>
      <c r="W231" s="411">
        <f t="shared" si="77"/>
        <v>29.060349151789751</v>
      </c>
      <c r="X231" s="423">
        <f t="shared" si="50"/>
        <v>174.36209491073851</v>
      </c>
      <c r="Y231" s="251" t="s">
        <v>1965</v>
      </c>
      <c r="Z231" s="307"/>
      <c r="AA231" s="345"/>
      <c r="AB231">
        <v>2</v>
      </c>
    </row>
    <row r="232" spans="1:32" ht="15.75" hidden="1" customHeight="1" thickBot="1">
      <c r="A232" s="236">
        <v>236</v>
      </c>
      <c r="B232" s="371" t="s">
        <v>26</v>
      </c>
      <c r="C232" s="372" t="s">
        <v>1948</v>
      </c>
      <c r="D232" s="372"/>
      <c r="E232" s="373" t="s">
        <v>17</v>
      </c>
      <c r="F232" s="372" t="s">
        <v>1959</v>
      </c>
      <c r="G232" s="374" t="s">
        <v>1957</v>
      </c>
      <c r="H232" s="372"/>
      <c r="I232" s="373"/>
      <c r="J232" s="375" t="s">
        <v>18</v>
      </c>
      <c r="K232" s="376"/>
      <c r="L232" s="376"/>
      <c r="M232" s="376"/>
      <c r="N232" s="376"/>
      <c r="O232" s="376"/>
      <c r="P232" s="376"/>
      <c r="Q232" s="376"/>
      <c r="R232" s="376"/>
      <c r="S232" s="376"/>
      <c r="T232" s="376"/>
      <c r="U232" s="376"/>
      <c r="V232" s="377"/>
      <c r="W232" s="398"/>
      <c r="X232" s="205">
        <f t="shared" si="50"/>
        <v>0</v>
      </c>
      <c r="Y232" s="251" t="s">
        <v>1965</v>
      </c>
      <c r="Z232" s="307"/>
      <c r="AA232" s="345"/>
      <c r="AB232">
        <v>1</v>
      </c>
    </row>
    <row r="233" spans="1:32" ht="15.75" hidden="1" customHeight="1" thickBot="1">
      <c r="A233" s="193">
        <v>237</v>
      </c>
      <c r="B233" s="379" t="s">
        <v>26</v>
      </c>
      <c r="C233" s="380" t="s">
        <v>1948</v>
      </c>
      <c r="D233" s="380"/>
      <c r="E233" s="381" t="s">
        <v>17</v>
      </c>
      <c r="F233" s="380" t="s">
        <v>1959</v>
      </c>
      <c r="G233" s="382" t="s">
        <v>1957</v>
      </c>
      <c r="H233" s="380"/>
      <c r="I233" s="381"/>
      <c r="J233" s="383" t="s">
        <v>10</v>
      </c>
      <c r="K233" s="384"/>
      <c r="L233" s="384"/>
      <c r="M233" s="384"/>
      <c r="N233" s="384"/>
      <c r="O233" s="384"/>
      <c r="P233" s="384"/>
      <c r="Q233" s="384"/>
      <c r="R233" s="384"/>
      <c r="S233" s="384"/>
      <c r="T233" s="384"/>
      <c r="U233" s="384"/>
      <c r="V233" s="385"/>
      <c r="W233" s="399"/>
      <c r="X233" s="205">
        <f t="shared" si="50"/>
        <v>0</v>
      </c>
      <c r="Y233" s="251" t="s">
        <v>1965</v>
      </c>
      <c r="Z233" s="307"/>
      <c r="AA233" s="345"/>
      <c r="AB233">
        <v>1</v>
      </c>
    </row>
    <row r="234" spans="1:32" ht="15.75" hidden="1" customHeight="1" thickBot="1">
      <c r="A234" s="249">
        <v>238</v>
      </c>
      <c r="B234" s="389" t="s">
        <v>26</v>
      </c>
      <c r="C234" s="390" t="s">
        <v>1948</v>
      </c>
      <c r="D234" s="390"/>
      <c r="E234" s="391" t="s">
        <v>17</v>
      </c>
      <c r="F234" s="390" t="s">
        <v>1959</v>
      </c>
      <c r="G234" s="392" t="s">
        <v>1957</v>
      </c>
      <c r="H234" s="390"/>
      <c r="I234" s="391"/>
      <c r="J234" s="393" t="s">
        <v>1958</v>
      </c>
      <c r="K234" s="409"/>
      <c r="L234" s="409"/>
      <c r="M234" s="409"/>
      <c r="N234" s="409"/>
      <c r="O234" s="409"/>
      <c r="P234" s="409"/>
      <c r="Q234" s="409"/>
      <c r="R234" s="409"/>
      <c r="S234" s="409"/>
      <c r="T234" s="409"/>
      <c r="U234" s="409"/>
      <c r="V234" s="410"/>
      <c r="W234" s="411"/>
      <c r="X234" s="205">
        <f t="shared" si="50"/>
        <v>0</v>
      </c>
      <c r="Y234" s="251" t="s">
        <v>1965</v>
      </c>
      <c r="Z234" s="307"/>
      <c r="AA234" s="345"/>
      <c r="AB234">
        <v>1</v>
      </c>
    </row>
    <row r="235" spans="1:32" ht="15.75" hidden="1" customHeight="1" thickBot="1">
      <c r="A235" s="193">
        <v>239</v>
      </c>
      <c r="B235" s="402" t="s">
        <v>26</v>
      </c>
      <c r="C235" s="403" t="s">
        <v>1948</v>
      </c>
      <c r="D235" s="403"/>
      <c r="E235" s="404" t="s">
        <v>17</v>
      </c>
      <c r="F235" s="403" t="s">
        <v>1959</v>
      </c>
      <c r="G235" s="424" t="s">
        <v>1957</v>
      </c>
      <c r="H235" s="403"/>
      <c r="I235" s="404"/>
      <c r="J235" s="405" t="s">
        <v>14</v>
      </c>
      <c r="K235" s="406"/>
      <c r="L235" s="406"/>
      <c r="M235" s="406"/>
      <c r="N235" s="406"/>
      <c r="O235" s="406"/>
      <c r="P235" s="406"/>
      <c r="Q235" s="406"/>
      <c r="R235" s="406"/>
      <c r="S235" s="406"/>
      <c r="T235" s="406"/>
      <c r="U235" s="406"/>
      <c r="V235" s="407"/>
      <c r="W235" s="425"/>
      <c r="X235" s="205">
        <f t="shared" si="50"/>
        <v>0</v>
      </c>
      <c r="Y235" s="251" t="s">
        <v>1965</v>
      </c>
      <c r="Z235" s="307"/>
      <c r="AA235" s="345"/>
      <c r="AB235">
        <v>1</v>
      </c>
    </row>
    <row r="236" spans="1:32" ht="15.75" hidden="1" customHeight="1" thickBot="1">
      <c r="A236" s="209">
        <v>240</v>
      </c>
      <c r="B236" s="402" t="s">
        <v>26</v>
      </c>
      <c r="C236" s="403" t="s">
        <v>1948</v>
      </c>
      <c r="D236" s="403"/>
      <c r="E236" s="404" t="s">
        <v>17</v>
      </c>
      <c r="F236" s="403" t="s">
        <v>1959</v>
      </c>
      <c r="G236" s="424" t="s">
        <v>1985</v>
      </c>
      <c r="H236" s="403"/>
      <c r="I236" s="404"/>
      <c r="J236" s="405" t="s">
        <v>18</v>
      </c>
      <c r="K236" s="406"/>
      <c r="L236" s="406"/>
      <c r="M236" s="406"/>
      <c r="N236" s="406"/>
      <c r="O236" s="406"/>
      <c r="P236" s="406"/>
      <c r="Q236" s="406"/>
      <c r="R236" s="406"/>
      <c r="S236" s="406"/>
      <c r="T236" s="406"/>
      <c r="U236" s="406"/>
      <c r="V236" s="407"/>
      <c r="W236" s="425">
        <f>SUM(K236:V236)</f>
        <v>0</v>
      </c>
      <c r="X236" s="205">
        <f t="shared" si="50"/>
        <v>0</v>
      </c>
      <c r="Y236" s="251" t="s">
        <v>1965</v>
      </c>
      <c r="Z236" s="271"/>
      <c r="AA236" s="244"/>
      <c r="AB236">
        <v>1</v>
      </c>
    </row>
    <row r="237" spans="1:32" ht="15.75" hidden="1" customHeight="1" thickBot="1">
      <c r="A237" s="193">
        <v>241</v>
      </c>
      <c r="B237" s="379" t="s">
        <v>26</v>
      </c>
      <c r="C237" s="380" t="s">
        <v>1948</v>
      </c>
      <c r="D237" s="380"/>
      <c r="E237" s="381" t="s">
        <v>17</v>
      </c>
      <c r="F237" s="380" t="s">
        <v>1959</v>
      </c>
      <c r="G237" s="382" t="s">
        <v>1985</v>
      </c>
      <c r="H237" s="380"/>
      <c r="I237" s="381"/>
      <c r="J237" s="383" t="s">
        <v>10</v>
      </c>
      <c r="K237" s="384">
        <f t="shared" ref="K237:V237" si="78">$W$237/$AF$237</f>
        <v>6952</v>
      </c>
      <c r="L237" s="384">
        <f t="shared" si="78"/>
        <v>6952</v>
      </c>
      <c r="M237" s="384">
        <f t="shared" si="78"/>
        <v>6952</v>
      </c>
      <c r="N237" s="384">
        <f t="shared" si="78"/>
        <v>6952</v>
      </c>
      <c r="O237" s="384">
        <f t="shared" si="78"/>
        <v>6952</v>
      </c>
      <c r="P237" s="384">
        <f t="shared" si="78"/>
        <v>6952</v>
      </c>
      <c r="Q237" s="384">
        <f t="shared" si="78"/>
        <v>6952</v>
      </c>
      <c r="R237" s="384">
        <f t="shared" si="78"/>
        <v>6952</v>
      </c>
      <c r="S237" s="384">
        <f t="shared" si="78"/>
        <v>6952</v>
      </c>
      <c r="T237" s="384">
        <f t="shared" si="78"/>
        <v>6952</v>
      </c>
      <c r="U237" s="384">
        <f t="shared" si="78"/>
        <v>6952</v>
      </c>
      <c r="V237" s="385">
        <f t="shared" si="78"/>
        <v>6952</v>
      </c>
      <c r="W237" s="400">
        <v>83424</v>
      </c>
      <c r="X237" s="205">
        <f t="shared" si="50"/>
        <v>41712</v>
      </c>
      <c r="Y237" s="251" t="s">
        <v>1965</v>
      </c>
      <c r="Z237" s="275"/>
      <c r="AA237" s="218"/>
      <c r="AB237">
        <v>1</v>
      </c>
      <c r="AF237">
        <v>12</v>
      </c>
    </row>
    <row r="238" spans="1:32" ht="15.75" hidden="1" customHeight="1" thickBot="1">
      <c r="A238" s="209">
        <v>242</v>
      </c>
      <c r="B238" s="389" t="s">
        <v>26</v>
      </c>
      <c r="C238" s="390" t="s">
        <v>1948</v>
      </c>
      <c r="D238" s="390"/>
      <c r="E238" s="391" t="s">
        <v>17</v>
      </c>
      <c r="F238" s="390" t="s">
        <v>1959</v>
      </c>
      <c r="G238" s="392" t="s">
        <v>1985</v>
      </c>
      <c r="H238" s="390"/>
      <c r="I238" s="391"/>
      <c r="J238" s="393" t="s">
        <v>14</v>
      </c>
      <c r="K238" s="409">
        <f t="shared" ref="K238:V238" si="79">$W$238/$AF$238</f>
        <v>915000</v>
      </c>
      <c r="L238" s="409">
        <f t="shared" si="79"/>
        <v>915000</v>
      </c>
      <c r="M238" s="409">
        <f t="shared" si="79"/>
        <v>915000</v>
      </c>
      <c r="N238" s="409">
        <f t="shared" si="79"/>
        <v>915000</v>
      </c>
      <c r="O238" s="409">
        <f t="shared" si="79"/>
        <v>915000</v>
      </c>
      <c r="P238" s="409">
        <f t="shared" si="79"/>
        <v>915000</v>
      </c>
      <c r="Q238" s="409">
        <f t="shared" si="79"/>
        <v>915000</v>
      </c>
      <c r="R238" s="409">
        <f t="shared" si="79"/>
        <v>915000</v>
      </c>
      <c r="S238" s="409">
        <f t="shared" si="79"/>
        <v>915000</v>
      </c>
      <c r="T238" s="409">
        <f t="shared" si="79"/>
        <v>915000</v>
      </c>
      <c r="U238" s="409">
        <f t="shared" si="79"/>
        <v>915000</v>
      </c>
      <c r="V238" s="410">
        <f t="shared" si="79"/>
        <v>915000</v>
      </c>
      <c r="W238" s="426">
        <v>10980000</v>
      </c>
      <c r="X238" s="205">
        <f t="shared" si="50"/>
        <v>5490000</v>
      </c>
      <c r="Y238" s="251" t="s">
        <v>1965</v>
      </c>
      <c r="Z238" s="279"/>
      <c r="AA238" s="235"/>
      <c r="AB238">
        <v>1</v>
      </c>
      <c r="AF238">
        <v>12</v>
      </c>
    </row>
    <row r="239" spans="1:32" ht="15.75" hidden="1" customHeight="1" thickBot="1">
      <c r="A239" s="209">
        <v>243</v>
      </c>
      <c r="B239" s="371" t="s">
        <v>26</v>
      </c>
      <c r="C239" s="372" t="s">
        <v>1948</v>
      </c>
      <c r="D239" s="372" t="s">
        <v>1978</v>
      </c>
      <c r="E239" s="373" t="s">
        <v>17</v>
      </c>
      <c r="F239" s="372" t="s">
        <v>1959</v>
      </c>
      <c r="G239" s="374" t="s">
        <v>1962</v>
      </c>
      <c r="H239" s="372"/>
      <c r="I239" s="373"/>
      <c r="J239" s="375" t="s">
        <v>18</v>
      </c>
      <c r="K239" s="427"/>
      <c r="L239" s="427"/>
      <c r="M239" s="427"/>
      <c r="N239" s="427"/>
      <c r="O239" s="427"/>
      <c r="P239" s="427"/>
      <c r="Q239" s="427"/>
      <c r="R239" s="427"/>
      <c r="S239" s="427"/>
      <c r="T239" s="427"/>
      <c r="U239" s="427"/>
      <c r="V239" s="428"/>
      <c r="W239" s="398">
        <f>SUM(K239:V239)</f>
        <v>0</v>
      </c>
      <c r="X239" s="205">
        <f t="shared" si="50"/>
        <v>0</v>
      </c>
      <c r="Y239" s="251" t="s">
        <v>1965</v>
      </c>
      <c r="Z239" s="286"/>
      <c r="AA239" s="244"/>
      <c r="AB239">
        <v>1</v>
      </c>
    </row>
    <row r="240" spans="1:32" ht="15.75" hidden="1" customHeight="1" thickBot="1">
      <c r="A240" s="209">
        <v>244</v>
      </c>
      <c r="B240" s="379" t="s">
        <v>26</v>
      </c>
      <c r="C240" s="380" t="s">
        <v>1948</v>
      </c>
      <c r="D240" s="380" t="s">
        <v>1978</v>
      </c>
      <c r="E240" s="381" t="s">
        <v>17</v>
      </c>
      <c r="F240" s="380" t="s">
        <v>1959</v>
      </c>
      <c r="G240" s="382" t="s">
        <v>1962</v>
      </c>
      <c r="H240" s="380"/>
      <c r="I240" s="381"/>
      <c r="J240" s="383" t="s">
        <v>10</v>
      </c>
      <c r="K240" s="384">
        <f t="shared" ref="K240:V240" si="80">$W$240/$AF$240</f>
        <v>1715.0833333333333</v>
      </c>
      <c r="L240" s="384">
        <f t="shared" si="80"/>
        <v>1715.0833333333333</v>
      </c>
      <c r="M240" s="384">
        <f t="shared" si="80"/>
        <v>1715.0833333333333</v>
      </c>
      <c r="N240" s="384">
        <f t="shared" si="80"/>
        <v>1715.0833333333333</v>
      </c>
      <c r="O240" s="384">
        <f t="shared" si="80"/>
        <v>1715.0833333333333</v>
      </c>
      <c r="P240" s="384">
        <f t="shared" si="80"/>
        <v>1715.0833333333333</v>
      </c>
      <c r="Q240" s="384">
        <f t="shared" si="80"/>
        <v>1715.0833333333333</v>
      </c>
      <c r="R240" s="384">
        <f t="shared" si="80"/>
        <v>1715.0833333333333</v>
      </c>
      <c r="S240" s="384">
        <f t="shared" si="80"/>
        <v>1715.0833333333333</v>
      </c>
      <c r="T240" s="384">
        <f t="shared" si="80"/>
        <v>1715.0833333333333</v>
      </c>
      <c r="U240" s="384">
        <f t="shared" si="80"/>
        <v>1715.0833333333333</v>
      </c>
      <c r="V240" s="385">
        <f t="shared" si="80"/>
        <v>1715.0833333333333</v>
      </c>
      <c r="W240" s="408">
        <v>20581</v>
      </c>
      <c r="X240" s="205">
        <f t="shared" si="50"/>
        <v>10290.5</v>
      </c>
      <c r="Y240" s="251" t="s">
        <v>1965</v>
      </c>
      <c r="Z240" s="275"/>
      <c r="AA240" s="218"/>
      <c r="AB240">
        <v>1</v>
      </c>
      <c r="AF240">
        <v>12</v>
      </c>
    </row>
    <row r="241" spans="1:32" ht="15.75" hidden="1" customHeight="1" thickBot="1">
      <c r="A241" s="193">
        <v>245</v>
      </c>
      <c r="B241" s="389" t="s">
        <v>26</v>
      </c>
      <c r="C241" s="390" t="s">
        <v>1948</v>
      </c>
      <c r="D241" s="390" t="s">
        <v>1978</v>
      </c>
      <c r="E241" s="391" t="s">
        <v>17</v>
      </c>
      <c r="F241" s="390" t="s">
        <v>1959</v>
      </c>
      <c r="G241" s="392" t="s">
        <v>1962</v>
      </c>
      <c r="H241" s="390"/>
      <c r="I241" s="391"/>
      <c r="J241" s="393" t="s">
        <v>14</v>
      </c>
      <c r="K241" s="409">
        <f t="shared" ref="K241:V241" si="81">$W$241/$AF$241</f>
        <v>89416.666666666672</v>
      </c>
      <c r="L241" s="409">
        <f t="shared" si="81"/>
        <v>89416.666666666672</v>
      </c>
      <c r="M241" s="409">
        <f t="shared" si="81"/>
        <v>89416.666666666672</v>
      </c>
      <c r="N241" s="409">
        <f t="shared" si="81"/>
        <v>89416.666666666672</v>
      </c>
      <c r="O241" s="409">
        <f t="shared" si="81"/>
        <v>89416.666666666672</v>
      </c>
      <c r="P241" s="409">
        <f t="shared" si="81"/>
        <v>89416.666666666672</v>
      </c>
      <c r="Q241" s="409">
        <f t="shared" si="81"/>
        <v>89416.666666666672</v>
      </c>
      <c r="R241" s="409">
        <f t="shared" si="81"/>
        <v>89416.666666666672</v>
      </c>
      <c r="S241" s="409">
        <f t="shared" si="81"/>
        <v>89416.666666666672</v>
      </c>
      <c r="T241" s="409">
        <f t="shared" si="81"/>
        <v>89416.666666666672</v>
      </c>
      <c r="U241" s="409">
        <f t="shared" si="81"/>
        <v>89416.666666666672</v>
      </c>
      <c r="V241" s="410">
        <f t="shared" si="81"/>
        <v>89416.666666666672</v>
      </c>
      <c r="W241" s="426">
        <v>1073000</v>
      </c>
      <c r="X241" s="205">
        <f t="shared" si="50"/>
        <v>536500</v>
      </c>
      <c r="Y241" s="251" t="s">
        <v>1965</v>
      </c>
      <c r="Z241" s="279"/>
      <c r="AA241" s="235"/>
      <c r="AB241">
        <v>1</v>
      </c>
      <c r="AF241">
        <v>12</v>
      </c>
    </row>
    <row r="242" spans="1:32" ht="15.75" hidden="1" customHeight="1" thickBot="1">
      <c r="A242" s="209">
        <v>246</v>
      </c>
      <c r="B242" s="371" t="s">
        <v>26</v>
      </c>
      <c r="C242" s="372" t="s">
        <v>1931</v>
      </c>
      <c r="D242" s="372"/>
      <c r="E242" s="373" t="s">
        <v>21</v>
      </c>
      <c r="F242" s="372" t="s">
        <v>1969</v>
      </c>
      <c r="G242" s="374" t="s">
        <v>1970</v>
      </c>
      <c r="H242" s="372" t="s">
        <v>1967</v>
      </c>
      <c r="I242" s="373" t="s">
        <v>1971</v>
      </c>
      <c r="J242" s="375" t="s">
        <v>22</v>
      </c>
      <c r="K242" s="376">
        <f t="shared" ref="K242:V260" si="82">$W242/$AF242</f>
        <v>0</v>
      </c>
      <c r="L242" s="376">
        <f t="shared" si="82"/>
        <v>0</v>
      </c>
      <c r="M242" s="376">
        <f t="shared" si="82"/>
        <v>0</v>
      </c>
      <c r="N242" s="376">
        <f t="shared" si="82"/>
        <v>0</v>
      </c>
      <c r="O242" s="376">
        <f t="shared" si="82"/>
        <v>0</v>
      </c>
      <c r="P242" s="376">
        <f t="shared" si="82"/>
        <v>0</v>
      </c>
      <c r="Q242" s="376">
        <f t="shared" si="82"/>
        <v>0</v>
      </c>
      <c r="R242" s="376">
        <f t="shared" si="82"/>
        <v>0</v>
      </c>
      <c r="S242" s="376">
        <f t="shared" si="82"/>
        <v>0</v>
      </c>
      <c r="T242" s="376">
        <f t="shared" si="82"/>
        <v>0</v>
      </c>
      <c r="U242" s="376">
        <f t="shared" si="82"/>
        <v>0</v>
      </c>
      <c r="V242" s="377">
        <f t="shared" si="82"/>
        <v>0</v>
      </c>
      <c r="W242" s="429"/>
      <c r="X242" s="205">
        <f t="shared" si="50"/>
        <v>0</v>
      </c>
      <c r="Y242" s="251" t="s">
        <v>1965</v>
      </c>
      <c r="Z242" s="286"/>
      <c r="AA242" s="244"/>
      <c r="AB242">
        <v>1</v>
      </c>
      <c r="AF242">
        <v>12</v>
      </c>
    </row>
    <row r="243" spans="1:32" ht="15.75" hidden="1" customHeight="1" thickBot="1">
      <c r="A243" s="209">
        <v>247</v>
      </c>
      <c r="B243" s="379" t="s">
        <v>26</v>
      </c>
      <c r="C243" s="380" t="s">
        <v>1931</v>
      </c>
      <c r="D243" s="380"/>
      <c r="E243" s="381" t="s">
        <v>21</v>
      </c>
      <c r="F243" s="380" t="s">
        <v>1969</v>
      </c>
      <c r="G243" s="382" t="s">
        <v>1970</v>
      </c>
      <c r="H243" s="380" t="s">
        <v>1967</v>
      </c>
      <c r="I243" s="381" t="s">
        <v>1971</v>
      </c>
      <c r="J243" s="383" t="s">
        <v>10</v>
      </c>
      <c r="K243" s="384">
        <f t="shared" si="82"/>
        <v>9376.0833333333339</v>
      </c>
      <c r="L243" s="384">
        <f t="shared" si="82"/>
        <v>9376.0833333333339</v>
      </c>
      <c r="M243" s="384">
        <f t="shared" si="82"/>
        <v>9376.0833333333339</v>
      </c>
      <c r="N243" s="384">
        <f t="shared" si="82"/>
        <v>9376.0833333333339</v>
      </c>
      <c r="O243" s="384">
        <f t="shared" si="82"/>
        <v>9376.0833333333339</v>
      </c>
      <c r="P243" s="384">
        <f t="shared" si="82"/>
        <v>9376.0833333333339</v>
      </c>
      <c r="Q243" s="384">
        <f t="shared" si="82"/>
        <v>9376.0833333333339</v>
      </c>
      <c r="R243" s="384">
        <f t="shared" si="82"/>
        <v>9376.0833333333339</v>
      </c>
      <c r="S243" s="384">
        <f t="shared" si="82"/>
        <v>9376.0833333333339</v>
      </c>
      <c r="T243" s="384">
        <f t="shared" si="82"/>
        <v>9376.0833333333339</v>
      </c>
      <c r="U243" s="384">
        <f t="shared" si="82"/>
        <v>9376.0833333333339</v>
      </c>
      <c r="V243" s="385">
        <f t="shared" si="82"/>
        <v>9376.0833333333339</v>
      </c>
      <c r="W243" s="400">
        <v>112513</v>
      </c>
      <c r="X243" s="205">
        <f t="shared" si="50"/>
        <v>56256.500000000007</v>
      </c>
      <c r="Y243" s="251" t="s">
        <v>1965</v>
      </c>
      <c r="Z243" s="275"/>
      <c r="AA243" s="218"/>
      <c r="AB243">
        <v>1</v>
      </c>
      <c r="AF243">
        <v>12</v>
      </c>
    </row>
    <row r="244" spans="1:32" ht="15.75" hidden="1" customHeight="1" thickBot="1">
      <c r="A244" s="209">
        <v>248</v>
      </c>
      <c r="B244" s="379" t="s">
        <v>26</v>
      </c>
      <c r="C244" s="380" t="s">
        <v>1931</v>
      </c>
      <c r="D244" s="380"/>
      <c r="E244" s="381" t="s">
        <v>21</v>
      </c>
      <c r="F244" s="380" t="s">
        <v>1969</v>
      </c>
      <c r="G244" s="382" t="s">
        <v>1970</v>
      </c>
      <c r="H244" s="380" t="s">
        <v>1967</v>
      </c>
      <c r="I244" s="381" t="s">
        <v>1971</v>
      </c>
      <c r="J244" s="383" t="s">
        <v>23</v>
      </c>
      <c r="K244" s="384">
        <f t="shared" si="82"/>
        <v>149347.92807502934</v>
      </c>
      <c r="L244" s="384">
        <f t="shared" si="82"/>
        <v>149347.92807502934</v>
      </c>
      <c r="M244" s="384">
        <f t="shared" si="82"/>
        <v>149347.92807502934</v>
      </c>
      <c r="N244" s="384">
        <f t="shared" si="82"/>
        <v>149347.92807502934</v>
      </c>
      <c r="O244" s="384">
        <f t="shared" si="82"/>
        <v>149347.92807502934</v>
      </c>
      <c r="P244" s="384">
        <f t="shared" si="82"/>
        <v>149347.92807502934</v>
      </c>
      <c r="Q244" s="384">
        <f t="shared" si="82"/>
        <v>149347.92807502934</v>
      </c>
      <c r="R244" s="384">
        <f t="shared" si="82"/>
        <v>149347.92807502934</v>
      </c>
      <c r="S244" s="384">
        <f t="shared" si="82"/>
        <v>149347.92807502934</v>
      </c>
      <c r="T244" s="384">
        <f t="shared" si="82"/>
        <v>149347.92807502934</v>
      </c>
      <c r="U244" s="384">
        <f t="shared" si="82"/>
        <v>149347.92807502934</v>
      </c>
      <c r="V244" s="385">
        <f t="shared" si="82"/>
        <v>149347.92807502934</v>
      </c>
      <c r="W244" s="400">
        <v>1792175.1369003521</v>
      </c>
      <c r="X244" s="205">
        <f t="shared" si="50"/>
        <v>896087.56845017592</v>
      </c>
      <c r="Y244" s="251" t="s">
        <v>1965</v>
      </c>
      <c r="Z244" s="275"/>
      <c r="AA244" s="218"/>
      <c r="AB244">
        <v>1</v>
      </c>
      <c r="AF244">
        <v>12</v>
      </c>
    </row>
    <row r="245" spans="1:32" ht="15.75" hidden="1" customHeight="1" thickBot="1">
      <c r="A245" s="193">
        <v>249</v>
      </c>
      <c r="B245" s="379" t="s">
        <v>26</v>
      </c>
      <c r="C245" s="380" t="s">
        <v>1931</v>
      </c>
      <c r="D245" s="380"/>
      <c r="E245" s="381" t="s">
        <v>21</v>
      </c>
      <c r="F245" s="380" t="s">
        <v>1969</v>
      </c>
      <c r="G245" s="382" t="s">
        <v>1970</v>
      </c>
      <c r="H245" s="380" t="s">
        <v>1967</v>
      </c>
      <c r="I245" s="381" t="s">
        <v>1971</v>
      </c>
      <c r="J245" s="383" t="s">
        <v>24</v>
      </c>
      <c r="K245" s="384">
        <f t="shared" si="82"/>
        <v>23799.7872175333</v>
      </c>
      <c r="L245" s="384">
        <f t="shared" si="82"/>
        <v>23799.7872175333</v>
      </c>
      <c r="M245" s="384">
        <f t="shared" si="82"/>
        <v>23799.7872175333</v>
      </c>
      <c r="N245" s="384">
        <f t="shared" si="82"/>
        <v>23799.7872175333</v>
      </c>
      <c r="O245" s="384">
        <f t="shared" si="82"/>
        <v>23799.7872175333</v>
      </c>
      <c r="P245" s="384">
        <f t="shared" si="82"/>
        <v>23799.7872175333</v>
      </c>
      <c r="Q245" s="384">
        <f t="shared" si="82"/>
        <v>23799.7872175333</v>
      </c>
      <c r="R245" s="384">
        <f t="shared" si="82"/>
        <v>23799.7872175333</v>
      </c>
      <c r="S245" s="384">
        <f t="shared" si="82"/>
        <v>23799.7872175333</v>
      </c>
      <c r="T245" s="384">
        <f t="shared" si="82"/>
        <v>23799.7872175333</v>
      </c>
      <c r="U245" s="384">
        <f t="shared" si="82"/>
        <v>23799.7872175333</v>
      </c>
      <c r="V245" s="385">
        <f t="shared" si="82"/>
        <v>23799.7872175333</v>
      </c>
      <c r="W245" s="400">
        <v>285597.44661039958</v>
      </c>
      <c r="X245" s="205">
        <f t="shared" si="50"/>
        <v>142798.72330519979</v>
      </c>
      <c r="Y245" s="251" t="s">
        <v>1965</v>
      </c>
      <c r="Z245" s="275"/>
      <c r="AA245" s="218"/>
      <c r="AB245">
        <v>1</v>
      </c>
      <c r="AF245">
        <v>12</v>
      </c>
    </row>
    <row r="246" spans="1:32" ht="15.75" hidden="1" customHeight="1" thickBot="1">
      <c r="A246" s="209">
        <v>250</v>
      </c>
      <c r="B246" s="379" t="s">
        <v>26</v>
      </c>
      <c r="C246" s="380" t="s">
        <v>1931</v>
      </c>
      <c r="D246" s="380"/>
      <c r="E246" s="381" t="s">
        <v>21</v>
      </c>
      <c r="F246" s="380" t="s">
        <v>1969</v>
      </c>
      <c r="G246" s="382" t="s">
        <v>1970</v>
      </c>
      <c r="H246" s="380" t="s">
        <v>1967</v>
      </c>
      <c r="I246" s="381" t="s">
        <v>1971</v>
      </c>
      <c r="J246" s="213" t="s">
        <v>14</v>
      </c>
      <c r="K246" s="384">
        <f t="shared" si="82"/>
        <v>173147.71529256264</v>
      </c>
      <c r="L246" s="384">
        <f t="shared" si="82"/>
        <v>173147.71529256264</v>
      </c>
      <c r="M246" s="384">
        <f t="shared" si="82"/>
        <v>173147.71529256264</v>
      </c>
      <c r="N246" s="384">
        <f t="shared" si="82"/>
        <v>173147.71529256264</v>
      </c>
      <c r="O246" s="384">
        <f t="shared" si="82"/>
        <v>173147.71529256264</v>
      </c>
      <c r="P246" s="384">
        <f t="shared" si="82"/>
        <v>173147.71529256264</v>
      </c>
      <c r="Q246" s="384">
        <f t="shared" si="82"/>
        <v>173147.71529256264</v>
      </c>
      <c r="R246" s="384">
        <f t="shared" si="82"/>
        <v>173147.71529256264</v>
      </c>
      <c r="S246" s="384">
        <f t="shared" si="82"/>
        <v>173147.71529256264</v>
      </c>
      <c r="T246" s="384">
        <f t="shared" si="82"/>
        <v>173147.71529256264</v>
      </c>
      <c r="U246" s="384">
        <f t="shared" si="82"/>
        <v>173147.71529256264</v>
      </c>
      <c r="V246" s="385">
        <f t="shared" si="82"/>
        <v>173147.71529256264</v>
      </c>
      <c r="W246" s="399">
        <f>W245+W244</f>
        <v>2077772.5835107516</v>
      </c>
      <c r="X246" s="205">
        <f t="shared" si="50"/>
        <v>1038886.2917553758</v>
      </c>
      <c r="Y246" s="251" t="s">
        <v>1965</v>
      </c>
      <c r="Z246" s="275"/>
      <c r="AA246" s="218"/>
      <c r="AB246">
        <v>1</v>
      </c>
      <c r="AF246">
        <v>12</v>
      </c>
    </row>
    <row r="247" spans="1:32" ht="15.75" hidden="1" customHeight="1" thickBot="1">
      <c r="A247" s="209">
        <v>251</v>
      </c>
      <c r="B247" s="379" t="s">
        <v>26</v>
      </c>
      <c r="C247" s="380" t="s">
        <v>1931</v>
      </c>
      <c r="D247" s="380"/>
      <c r="E247" s="381" t="s">
        <v>21</v>
      </c>
      <c r="F247" s="380" t="s">
        <v>1969</v>
      </c>
      <c r="G247" s="382" t="s">
        <v>1970</v>
      </c>
      <c r="H247" s="380" t="s">
        <v>1967</v>
      </c>
      <c r="I247" s="381" t="s">
        <v>1971</v>
      </c>
      <c r="J247" s="261" t="s">
        <v>25</v>
      </c>
      <c r="K247" s="384" t="e">
        <f>K243/K242</f>
        <v>#DIV/0!</v>
      </c>
      <c r="L247" s="384" t="e">
        <f t="shared" ref="L247:W247" si="83">L243/L242</f>
        <v>#DIV/0!</v>
      </c>
      <c r="M247" s="384" t="e">
        <f t="shared" si="83"/>
        <v>#DIV/0!</v>
      </c>
      <c r="N247" s="384" t="e">
        <f t="shared" si="83"/>
        <v>#DIV/0!</v>
      </c>
      <c r="O247" s="384" t="e">
        <f t="shared" si="83"/>
        <v>#DIV/0!</v>
      </c>
      <c r="P247" s="384" t="e">
        <f t="shared" si="83"/>
        <v>#DIV/0!</v>
      </c>
      <c r="Q247" s="384" t="e">
        <f t="shared" si="83"/>
        <v>#DIV/0!</v>
      </c>
      <c r="R247" s="384" t="e">
        <f t="shared" si="83"/>
        <v>#DIV/0!</v>
      </c>
      <c r="S247" s="384" t="e">
        <f t="shared" si="83"/>
        <v>#DIV/0!</v>
      </c>
      <c r="T247" s="384" t="e">
        <f t="shared" si="83"/>
        <v>#DIV/0!</v>
      </c>
      <c r="U247" s="384" t="e">
        <f t="shared" si="83"/>
        <v>#DIV/0!</v>
      </c>
      <c r="V247" s="385" t="e">
        <f t="shared" si="83"/>
        <v>#DIV/0!</v>
      </c>
      <c r="W247" s="399" t="e">
        <f t="shared" si="83"/>
        <v>#DIV/0!</v>
      </c>
      <c r="X247" s="388" t="e">
        <f t="shared" ref="X247:X310" si="84">SUM(K247:P247)</f>
        <v>#DIV/0!</v>
      </c>
      <c r="Y247" s="251" t="s">
        <v>1965</v>
      </c>
      <c r="Z247" s="275"/>
      <c r="AA247" s="218"/>
      <c r="AB247">
        <v>2</v>
      </c>
      <c r="AF247">
        <v>12</v>
      </c>
    </row>
    <row r="248" spans="1:32" ht="15.75" hidden="1" customHeight="1" thickBot="1">
      <c r="A248" s="209">
        <v>252</v>
      </c>
      <c r="B248" s="389" t="s">
        <v>26</v>
      </c>
      <c r="C248" s="390" t="s">
        <v>1931</v>
      </c>
      <c r="D248" s="390"/>
      <c r="E248" s="391" t="s">
        <v>21</v>
      </c>
      <c r="F248" s="390" t="s">
        <v>1969</v>
      </c>
      <c r="G248" s="392" t="s">
        <v>1970</v>
      </c>
      <c r="H248" s="390" t="s">
        <v>1967</v>
      </c>
      <c r="I248" s="391" t="s">
        <v>1971</v>
      </c>
      <c r="J248" s="430" t="s">
        <v>16</v>
      </c>
      <c r="K248" s="409">
        <f>K246/K243</f>
        <v>18.466955671884595</v>
      </c>
      <c r="L248" s="409">
        <f t="shared" ref="L248:W248" si="85">L246/L243</f>
        <v>18.466955671884595</v>
      </c>
      <c r="M248" s="409">
        <f t="shared" si="85"/>
        <v>18.466955671884595</v>
      </c>
      <c r="N248" s="409">
        <f t="shared" si="85"/>
        <v>18.466955671884595</v>
      </c>
      <c r="O248" s="409">
        <f t="shared" si="85"/>
        <v>18.466955671884595</v>
      </c>
      <c r="P248" s="409">
        <f t="shared" si="85"/>
        <v>18.466955671884595</v>
      </c>
      <c r="Q248" s="409">
        <f t="shared" si="85"/>
        <v>18.466955671884595</v>
      </c>
      <c r="R248" s="409">
        <f t="shared" si="85"/>
        <v>18.466955671884595</v>
      </c>
      <c r="S248" s="409">
        <f t="shared" si="85"/>
        <v>18.466955671884595</v>
      </c>
      <c r="T248" s="409">
        <f t="shared" si="85"/>
        <v>18.466955671884595</v>
      </c>
      <c r="U248" s="409">
        <f t="shared" si="85"/>
        <v>18.466955671884595</v>
      </c>
      <c r="V248" s="410">
        <f t="shared" si="85"/>
        <v>18.466955671884595</v>
      </c>
      <c r="W248" s="411">
        <f t="shared" si="85"/>
        <v>18.466955671884598</v>
      </c>
      <c r="X248" s="388">
        <f t="shared" si="84"/>
        <v>110.80173403130756</v>
      </c>
      <c r="Y248" s="251" t="s">
        <v>1965</v>
      </c>
      <c r="Z248" s="279"/>
      <c r="AA248" s="235"/>
      <c r="AB248">
        <v>2</v>
      </c>
      <c r="AF248">
        <v>12</v>
      </c>
    </row>
    <row r="249" spans="1:32" ht="15.75" hidden="1" customHeight="1" thickBot="1">
      <c r="A249" s="193">
        <v>253</v>
      </c>
      <c r="B249" s="371" t="s">
        <v>26</v>
      </c>
      <c r="C249" s="372" t="s">
        <v>1931</v>
      </c>
      <c r="D249" s="372"/>
      <c r="E249" s="373" t="s">
        <v>21</v>
      </c>
      <c r="F249" s="372" t="s">
        <v>1969</v>
      </c>
      <c r="G249" s="374" t="s">
        <v>1970</v>
      </c>
      <c r="H249" s="372" t="s">
        <v>1967</v>
      </c>
      <c r="I249" s="373" t="s">
        <v>1973</v>
      </c>
      <c r="J249" s="375" t="s">
        <v>22</v>
      </c>
      <c r="K249" s="376">
        <f t="shared" si="82"/>
        <v>0</v>
      </c>
      <c r="L249" s="376">
        <f t="shared" si="82"/>
        <v>0</v>
      </c>
      <c r="M249" s="376">
        <f t="shared" si="82"/>
        <v>0</v>
      </c>
      <c r="N249" s="376">
        <f t="shared" si="82"/>
        <v>0</v>
      </c>
      <c r="O249" s="376">
        <f t="shared" si="82"/>
        <v>0</v>
      </c>
      <c r="P249" s="376">
        <f t="shared" si="82"/>
        <v>0</v>
      </c>
      <c r="Q249" s="376">
        <f t="shared" si="82"/>
        <v>0</v>
      </c>
      <c r="R249" s="376">
        <f t="shared" si="82"/>
        <v>0</v>
      </c>
      <c r="S249" s="376">
        <f t="shared" si="82"/>
        <v>0</v>
      </c>
      <c r="T249" s="376">
        <f t="shared" si="82"/>
        <v>0</v>
      </c>
      <c r="U249" s="376">
        <f t="shared" si="82"/>
        <v>0</v>
      </c>
      <c r="V249" s="377">
        <f t="shared" si="82"/>
        <v>0</v>
      </c>
      <c r="W249" s="398">
        <f>'[2]Détail OFI PF + PV'!$E$8</f>
        <v>0</v>
      </c>
      <c r="X249" s="205">
        <f t="shared" si="84"/>
        <v>0</v>
      </c>
      <c r="Y249" s="251" t="s">
        <v>1965</v>
      </c>
      <c r="Z249" s="286"/>
      <c r="AA249" s="244"/>
      <c r="AB249">
        <v>1</v>
      </c>
      <c r="AF249">
        <v>12</v>
      </c>
    </row>
    <row r="250" spans="1:32" ht="15.75" hidden="1" customHeight="1" thickBot="1">
      <c r="A250" s="209">
        <v>254</v>
      </c>
      <c r="B250" s="379" t="s">
        <v>26</v>
      </c>
      <c r="C250" s="380" t="s">
        <v>1931</v>
      </c>
      <c r="D250" s="380"/>
      <c r="E250" s="381" t="s">
        <v>21</v>
      </c>
      <c r="F250" s="380" t="s">
        <v>1969</v>
      </c>
      <c r="G250" s="382" t="s">
        <v>1970</v>
      </c>
      <c r="H250" s="380" t="s">
        <v>1967</v>
      </c>
      <c r="I250" s="381" t="s">
        <v>1973</v>
      </c>
      <c r="J250" s="383" t="s">
        <v>10</v>
      </c>
      <c r="K250" s="384">
        <f t="shared" si="82"/>
        <v>0</v>
      </c>
      <c r="L250" s="384">
        <f t="shared" si="82"/>
        <v>0</v>
      </c>
      <c r="M250" s="384">
        <f t="shared" si="82"/>
        <v>0</v>
      </c>
      <c r="N250" s="384">
        <f t="shared" si="82"/>
        <v>0</v>
      </c>
      <c r="O250" s="384">
        <f t="shared" si="82"/>
        <v>0</v>
      </c>
      <c r="P250" s="384">
        <f t="shared" si="82"/>
        <v>0</v>
      </c>
      <c r="Q250" s="384">
        <f t="shared" si="82"/>
        <v>0</v>
      </c>
      <c r="R250" s="384">
        <f t="shared" si="82"/>
        <v>0</v>
      </c>
      <c r="S250" s="384">
        <f t="shared" si="82"/>
        <v>0</v>
      </c>
      <c r="T250" s="384">
        <f t="shared" si="82"/>
        <v>0</v>
      </c>
      <c r="U250" s="384">
        <f t="shared" si="82"/>
        <v>0</v>
      </c>
      <c r="V250" s="385">
        <f t="shared" si="82"/>
        <v>0</v>
      </c>
      <c r="W250" s="399">
        <f>'[2]Détail OFI PF + PV'!$C$8</f>
        <v>0</v>
      </c>
      <c r="X250" s="205">
        <f t="shared" si="84"/>
        <v>0</v>
      </c>
      <c r="Y250" s="251" t="s">
        <v>1965</v>
      </c>
      <c r="Z250" s="275"/>
      <c r="AA250" s="218"/>
      <c r="AB250">
        <v>1</v>
      </c>
      <c r="AF250">
        <v>12</v>
      </c>
    </row>
    <row r="251" spans="1:32" ht="15.75" hidden="1" customHeight="1" thickBot="1">
      <c r="A251" s="209">
        <v>255</v>
      </c>
      <c r="B251" s="379" t="s">
        <v>26</v>
      </c>
      <c r="C251" s="380" t="s">
        <v>1931</v>
      </c>
      <c r="D251" s="380"/>
      <c r="E251" s="381" t="s">
        <v>21</v>
      </c>
      <c r="F251" s="380" t="s">
        <v>1969</v>
      </c>
      <c r="G251" s="382" t="s">
        <v>1970</v>
      </c>
      <c r="H251" s="380" t="s">
        <v>1967</v>
      </c>
      <c r="I251" s="381" t="s">
        <v>1973</v>
      </c>
      <c r="J251" s="383" t="s">
        <v>23</v>
      </c>
      <c r="K251" s="384">
        <f t="shared" si="82"/>
        <v>0</v>
      </c>
      <c r="L251" s="384">
        <f t="shared" si="82"/>
        <v>0</v>
      </c>
      <c r="M251" s="384">
        <f t="shared" si="82"/>
        <v>0</v>
      </c>
      <c r="N251" s="384">
        <f t="shared" si="82"/>
        <v>0</v>
      </c>
      <c r="O251" s="384">
        <f t="shared" si="82"/>
        <v>0</v>
      </c>
      <c r="P251" s="384">
        <f t="shared" si="82"/>
        <v>0</v>
      </c>
      <c r="Q251" s="384">
        <f t="shared" si="82"/>
        <v>0</v>
      </c>
      <c r="R251" s="384">
        <f t="shared" si="82"/>
        <v>0</v>
      </c>
      <c r="S251" s="384">
        <f t="shared" si="82"/>
        <v>0</v>
      </c>
      <c r="T251" s="384">
        <f t="shared" si="82"/>
        <v>0</v>
      </c>
      <c r="U251" s="384">
        <f t="shared" si="82"/>
        <v>0</v>
      </c>
      <c r="V251" s="385">
        <f t="shared" si="82"/>
        <v>0</v>
      </c>
      <c r="W251" s="399">
        <f>'[2]Détail OFI PF + PV'!$C$107</f>
        <v>0</v>
      </c>
      <c r="X251" s="205">
        <f t="shared" si="84"/>
        <v>0</v>
      </c>
      <c r="Y251" s="251" t="s">
        <v>1965</v>
      </c>
      <c r="Z251" s="275"/>
      <c r="AA251" s="218"/>
      <c r="AB251">
        <v>1</v>
      </c>
      <c r="AF251">
        <v>12</v>
      </c>
    </row>
    <row r="252" spans="1:32" ht="15.75" hidden="1" customHeight="1" thickBot="1">
      <c r="A252" s="209">
        <v>256</v>
      </c>
      <c r="B252" s="379" t="s">
        <v>26</v>
      </c>
      <c r="C252" s="380" t="s">
        <v>1931</v>
      </c>
      <c r="D252" s="380"/>
      <c r="E252" s="381" t="s">
        <v>21</v>
      </c>
      <c r="F252" s="380" t="s">
        <v>1969</v>
      </c>
      <c r="G252" s="382" t="s">
        <v>1970</v>
      </c>
      <c r="H252" s="380" t="s">
        <v>1967</v>
      </c>
      <c r="I252" s="381" t="s">
        <v>1973</v>
      </c>
      <c r="J252" s="383" t="s">
        <v>24</v>
      </c>
      <c r="K252" s="384">
        <f t="shared" si="82"/>
        <v>0</v>
      </c>
      <c r="L252" s="384">
        <f t="shared" si="82"/>
        <v>0</v>
      </c>
      <c r="M252" s="384">
        <f t="shared" si="82"/>
        <v>0</v>
      </c>
      <c r="N252" s="384">
        <f t="shared" si="82"/>
        <v>0</v>
      </c>
      <c r="O252" s="384">
        <f t="shared" si="82"/>
        <v>0</v>
      </c>
      <c r="P252" s="384">
        <f t="shared" si="82"/>
        <v>0</v>
      </c>
      <c r="Q252" s="384">
        <f t="shared" si="82"/>
        <v>0</v>
      </c>
      <c r="R252" s="384">
        <f t="shared" si="82"/>
        <v>0</v>
      </c>
      <c r="S252" s="384">
        <f t="shared" si="82"/>
        <v>0</v>
      </c>
      <c r="T252" s="384">
        <f t="shared" si="82"/>
        <v>0</v>
      </c>
      <c r="U252" s="384">
        <f t="shared" si="82"/>
        <v>0</v>
      </c>
      <c r="V252" s="385">
        <f t="shared" si="82"/>
        <v>0</v>
      </c>
      <c r="W252" s="399">
        <f>'[2]Détail OFI PF + PV'!$D$107</f>
        <v>0</v>
      </c>
      <c r="X252" s="205">
        <f t="shared" si="84"/>
        <v>0</v>
      </c>
      <c r="Y252" s="251" t="s">
        <v>1965</v>
      </c>
      <c r="Z252" s="275"/>
      <c r="AA252" s="218"/>
      <c r="AB252">
        <v>1</v>
      </c>
      <c r="AF252">
        <v>12</v>
      </c>
    </row>
    <row r="253" spans="1:32" ht="15.75" hidden="1" customHeight="1" thickBot="1">
      <c r="A253" s="193">
        <v>257</v>
      </c>
      <c r="B253" s="379" t="s">
        <v>26</v>
      </c>
      <c r="C253" s="380" t="s">
        <v>1931</v>
      </c>
      <c r="D253" s="380"/>
      <c r="E253" s="381" t="s">
        <v>21</v>
      </c>
      <c r="F253" s="380" t="s">
        <v>1969</v>
      </c>
      <c r="G253" s="382" t="s">
        <v>1970</v>
      </c>
      <c r="H253" s="380" t="s">
        <v>1967</v>
      </c>
      <c r="I253" s="381" t="s">
        <v>1973</v>
      </c>
      <c r="J253" s="213" t="s">
        <v>14</v>
      </c>
      <c r="K253" s="384">
        <f t="shared" si="82"/>
        <v>0</v>
      </c>
      <c r="L253" s="384">
        <f t="shared" si="82"/>
        <v>0</v>
      </c>
      <c r="M253" s="384">
        <f t="shared" si="82"/>
        <v>0</v>
      </c>
      <c r="N253" s="384">
        <f t="shared" si="82"/>
        <v>0</v>
      </c>
      <c r="O253" s="384">
        <f t="shared" si="82"/>
        <v>0</v>
      </c>
      <c r="P253" s="384">
        <f t="shared" si="82"/>
        <v>0</v>
      </c>
      <c r="Q253" s="384">
        <f t="shared" si="82"/>
        <v>0</v>
      </c>
      <c r="R253" s="384">
        <f t="shared" si="82"/>
        <v>0</v>
      </c>
      <c r="S253" s="384">
        <f t="shared" si="82"/>
        <v>0</v>
      </c>
      <c r="T253" s="384">
        <f t="shared" si="82"/>
        <v>0</v>
      </c>
      <c r="U253" s="384">
        <f t="shared" si="82"/>
        <v>0</v>
      </c>
      <c r="V253" s="385">
        <f t="shared" si="82"/>
        <v>0</v>
      </c>
      <c r="W253" s="399">
        <f>W252+W251</f>
        <v>0</v>
      </c>
      <c r="X253" s="205">
        <f t="shared" si="84"/>
        <v>0</v>
      </c>
      <c r="Y253" s="251" t="s">
        <v>1965</v>
      </c>
      <c r="Z253" s="275"/>
      <c r="AA253" s="218"/>
      <c r="AB253">
        <v>1</v>
      </c>
      <c r="AF253">
        <v>12</v>
      </c>
    </row>
    <row r="254" spans="1:32" ht="15.75" hidden="1" customHeight="1" thickBot="1">
      <c r="A254" s="209">
        <v>258</v>
      </c>
      <c r="B254" s="379" t="s">
        <v>26</v>
      </c>
      <c r="C254" s="380" t="s">
        <v>1931</v>
      </c>
      <c r="D254" s="380"/>
      <c r="E254" s="381" t="s">
        <v>21</v>
      </c>
      <c r="F254" s="380" t="s">
        <v>1969</v>
      </c>
      <c r="G254" s="382" t="s">
        <v>1970</v>
      </c>
      <c r="H254" s="380" t="s">
        <v>1967</v>
      </c>
      <c r="I254" s="381" t="s">
        <v>1973</v>
      </c>
      <c r="J254" s="261" t="s">
        <v>25</v>
      </c>
      <c r="K254" s="384">
        <f t="shared" si="82"/>
        <v>0</v>
      </c>
      <c r="L254" s="384">
        <f t="shared" si="82"/>
        <v>0</v>
      </c>
      <c r="M254" s="384">
        <f t="shared" si="82"/>
        <v>0</v>
      </c>
      <c r="N254" s="384">
        <f t="shared" si="82"/>
        <v>0</v>
      </c>
      <c r="O254" s="384">
        <f t="shared" si="82"/>
        <v>0</v>
      </c>
      <c r="P254" s="384">
        <f t="shared" si="82"/>
        <v>0</v>
      </c>
      <c r="Q254" s="384">
        <f t="shared" si="82"/>
        <v>0</v>
      </c>
      <c r="R254" s="384">
        <f t="shared" si="82"/>
        <v>0</v>
      </c>
      <c r="S254" s="384">
        <f t="shared" si="82"/>
        <v>0</v>
      </c>
      <c r="T254" s="384">
        <f t="shared" si="82"/>
        <v>0</v>
      </c>
      <c r="U254" s="384">
        <f t="shared" si="82"/>
        <v>0</v>
      </c>
      <c r="V254" s="385">
        <f t="shared" si="82"/>
        <v>0</v>
      </c>
      <c r="W254" s="399">
        <f>IF(W250=0,0,IF(W249=0,0,W250/W249))</f>
        <v>0</v>
      </c>
      <c r="X254" s="388">
        <f t="shared" si="84"/>
        <v>0</v>
      </c>
      <c r="Y254" s="251" t="s">
        <v>1965</v>
      </c>
      <c r="Z254" s="275"/>
      <c r="AA254" s="218"/>
      <c r="AB254">
        <v>2</v>
      </c>
      <c r="AF254">
        <v>12</v>
      </c>
    </row>
    <row r="255" spans="1:32" ht="15.75" hidden="1" customHeight="1" thickBot="1">
      <c r="A255" s="209">
        <v>259</v>
      </c>
      <c r="B255" s="389" t="s">
        <v>26</v>
      </c>
      <c r="C255" s="390" t="s">
        <v>1931</v>
      </c>
      <c r="D255" s="390"/>
      <c r="E255" s="391" t="s">
        <v>21</v>
      </c>
      <c r="F255" s="390" t="s">
        <v>1969</v>
      </c>
      <c r="G255" s="392" t="s">
        <v>1970</v>
      </c>
      <c r="H255" s="390" t="s">
        <v>1967</v>
      </c>
      <c r="I255" s="391" t="s">
        <v>1973</v>
      </c>
      <c r="J255" s="430" t="s">
        <v>16</v>
      </c>
      <c r="K255" s="409">
        <f t="shared" si="82"/>
        <v>0</v>
      </c>
      <c r="L255" s="409">
        <f t="shared" si="82"/>
        <v>0</v>
      </c>
      <c r="M255" s="409">
        <f t="shared" si="82"/>
        <v>0</v>
      </c>
      <c r="N255" s="409">
        <f t="shared" si="82"/>
        <v>0</v>
      </c>
      <c r="O255" s="409">
        <f t="shared" si="82"/>
        <v>0</v>
      </c>
      <c r="P255" s="409">
        <f t="shared" si="82"/>
        <v>0</v>
      </c>
      <c r="Q255" s="409">
        <f t="shared" si="82"/>
        <v>0</v>
      </c>
      <c r="R255" s="409">
        <f t="shared" si="82"/>
        <v>0</v>
      </c>
      <c r="S255" s="409">
        <f t="shared" si="82"/>
        <v>0</v>
      </c>
      <c r="T255" s="409">
        <f t="shared" si="82"/>
        <v>0</v>
      </c>
      <c r="U255" s="409">
        <f t="shared" si="82"/>
        <v>0</v>
      </c>
      <c r="V255" s="410">
        <f t="shared" si="82"/>
        <v>0</v>
      </c>
      <c r="W255" s="411">
        <f>IF(W250=0,0,IF(W253=0,0,W253/W250))</f>
        <v>0</v>
      </c>
      <c r="X255" s="388">
        <f t="shared" si="84"/>
        <v>0</v>
      </c>
      <c r="Y255" s="251" t="s">
        <v>1965</v>
      </c>
      <c r="Z255" s="279"/>
      <c r="AA255" s="235"/>
      <c r="AB255">
        <v>2</v>
      </c>
      <c r="AF255">
        <v>12</v>
      </c>
    </row>
    <row r="256" spans="1:32" ht="15.75" hidden="1" customHeight="1" thickBot="1">
      <c r="A256" s="209">
        <v>260</v>
      </c>
      <c r="B256" s="371" t="s">
        <v>26</v>
      </c>
      <c r="C256" s="372" t="s">
        <v>1948</v>
      </c>
      <c r="D256" s="372" t="s">
        <v>1974</v>
      </c>
      <c r="E256" s="373" t="s">
        <v>21</v>
      </c>
      <c r="F256" s="372" t="s">
        <v>1975</v>
      </c>
      <c r="G256" s="374" t="s">
        <v>1970</v>
      </c>
      <c r="H256" s="372" t="s">
        <v>1967</v>
      </c>
      <c r="I256" s="373"/>
      <c r="J256" s="375" t="s">
        <v>22</v>
      </c>
      <c r="K256" s="376">
        <f t="shared" si="82"/>
        <v>0</v>
      </c>
      <c r="L256" s="376">
        <f t="shared" si="82"/>
        <v>0</v>
      </c>
      <c r="M256" s="376">
        <f t="shared" si="82"/>
        <v>0</v>
      </c>
      <c r="N256" s="376">
        <f t="shared" si="82"/>
        <v>0</v>
      </c>
      <c r="O256" s="376">
        <f t="shared" si="82"/>
        <v>0</v>
      </c>
      <c r="P256" s="376">
        <f t="shared" si="82"/>
        <v>0</v>
      </c>
      <c r="Q256" s="376">
        <f t="shared" si="82"/>
        <v>0</v>
      </c>
      <c r="R256" s="376">
        <f t="shared" si="82"/>
        <v>0</v>
      </c>
      <c r="S256" s="376">
        <f t="shared" si="82"/>
        <v>0</v>
      </c>
      <c r="T256" s="376">
        <f t="shared" si="82"/>
        <v>0</v>
      </c>
      <c r="U256" s="376">
        <f t="shared" si="82"/>
        <v>0</v>
      </c>
      <c r="V256" s="377">
        <f t="shared" si="82"/>
        <v>0</v>
      </c>
      <c r="W256" s="429"/>
      <c r="X256" s="205">
        <f t="shared" si="84"/>
        <v>0</v>
      </c>
      <c r="Y256" s="251" t="s">
        <v>1965</v>
      </c>
      <c r="Z256" s="286"/>
      <c r="AA256" s="244"/>
      <c r="AB256">
        <v>1</v>
      </c>
      <c r="AF256">
        <v>12</v>
      </c>
    </row>
    <row r="257" spans="1:32" ht="15.75" hidden="1" customHeight="1" thickBot="1">
      <c r="A257" s="193">
        <v>261</v>
      </c>
      <c r="B257" s="379" t="s">
        <v>26</v>
      </c>
      <c r="C257" s="380" t="s">
        <v>1948</v>
      </c>
      <c r="D257" s="380" t="s">
        <v>1974</v>
      </c>
      <c r="E257" s="381" t="s">
        <v>21</v>
      </c>
      <c r="F257" s="380" t="s">
        <v>1975</v>
      </c>
      <c r="G257" s="382" t="s">
        <v>1970</v>
      </c>
      <c r="H257" s="380" t="s">
        <v>1967</v>
      </c>
      <c r="I257" s="381"/>
      <c r="J257" s="383" t="s">
        <v>10</v>
      </c>
      <c r="K257" s="384">
        <f t="shared" si="82"/>
        <v>1074.75</v>
      </c>
      <c r="L257" s="384">
        <f t="shared" si="82"/>
        <v>1074.75</v>
      </c>
      <c r="M257" s="384">
        <f t="shared" si="82"/>
        <v>1074.75</v>
      </c>
      <c r="N257" s="384">
        <f t="shared" si="82"/>
        <v>1074.75</v>
      </c>
      <c r="O257" s="384">
        <f t="shared" si="82"/>
        <v>1074.75</v>
      </c>
      <c r="P257" s="384">
        <f t="shared" si="82"/>
        <v>1074.75</v>
      </c>
      <c r="Q257" s="384">
        <f t="shared" si="82"/>
        <v>1074.75</v>
      </c>
      <c r="R257" s="384">
        <f t="shared" si="82"/>
        <v>1074.75</v>
      </c>
      <c r="S257" s="384">
        <f t="shared" si="82"/>
        <v>1074.75</v>
      </c>
      <c r="T257" s="384">
        <f t="shared" si="82"/>
        <v>1074.75</v>
      </c>
      <c r="U257" s="384">
        <f t="shared" si="82"/>
        <v>1074.75</v>
      </c>
      <c r="V257" s="385">
        <f t="shared" si="82"/>
        <v>1074.75</v>
      </c>
      <c r="W257" s="400">
        <v>12897</v>
      </c>
      <c r="X257" s="205">
        <f t="shared" si="84"/>
        <v>6448.5</v>
      </c>
      <c r="Y257" s="251" t="s">
        <v>1965</v>
      </c>
      <c r="Z257" s="275"/>
      <c r="AA257" s="218"/>
      <c r="AB257">
        <v>1</v>
      </c>
      <c r="AF257">
        <v>12</v>
      </c>
    </row>
    <row r="258" spans="1:32" ht="15.75" hidden="1" customHeight="1" thickBot="1">
      <c r="A258" s="209">
        <v>262</v>
      </c>
      <c r="B258" s="379" t="s">
        <v>26</v>
      </c>
      <c r="C258" s="380" t="s">
        <v>1948</v>
      </c>
      <c r="D258" s="380" t="s">
        <v>1974</v>
      </c>
      <c r="E258" s="381" t="s">
        <v>21</v>
      </c>
      <c r="F258" s="380" t="s">
        <v>1975</v>
      </c>
      <c r="G258" s="382" t="s">
        <v>1970</v>
      </c>
      <c r="H258" s="380" t="s">
        <v>1967</v>
      </c>
      <c r="I258" s="381"/>
      <c r="J258" s="383" t="s">
        <v>23</v>
      </c>
      <c r="K258" s="384">
        <f t="shared" si="82"/>
        <v>138657.97272499444</v>
      </c>
      <c r="L258" s="384">
        <f t="shared" si="82"/>
        <v>138657.97272499444</v>
      </c>
      <c r="M258" s="384">
        <f t="shared" si="82"/>
        <v>138657.97272499444</v>
      </c>
      <c r="N258" s="384">
        <f t="shared" si="82"/>
        <v>138657.97272499444</v>
      </c>
      <c r="O258" s="384">
        <f t="shared" si="82"/>
        <v>138657.97272499444</v>
      </c>
      <c r="P258" s="384">
        <f t="shared" si="82"/>
        <v>138657.97272499444</v>
      </c>
      <c r="Q258" s="384">
        <f t="shared" si="82"/>
        <v>138657.97272499444</v>
      </c>
      <c r="R258" s="384">
        <f t="shared" si="82"/>
        <v>138657.97272499444</v>
      </c>
      <c r="S258" s="384">
        <f t="shared" si="82"/>
        <v>138657.97272499444</v>
      </c>
      <c r="T258" s="384">
        <f t="shared" si="82"/>
        <v>138657.97272499444</v>
      </c>
      <c r="U258" s="384">
        <f t="shared" si="82"/>
        <v>138657.97272499444</v>
      </c>
      <c r="V258" s="385">
        <f t="shared" si="82"/>
        <v>138657.97272499444</v>
      </c>
      <c r="W258" s="400">
        <v>1663895.6726999334</v>
      </c>
      <c r="X258" s="205">
        <f t="shared" si="84"/>
        <v>831947.83634996659</v>
      </c>
      <c r="Y258" s="251" t="s">
        <v>1965</v>
      </c>
      <c r="Z258" s="275"/>
      <c r="AA258" s="218"/>
      <c r="AB258">
        <v>1</v>
      </c>
      <c r="AF258">
        <v>12</v>
      </c>
    </row>
    <row r="259" spans="1:32" ht="15.75" hidden="1" customHeight="1" thickBot="1">
      <c r="A259" s="209">
        <v>263</v>
      </c>
      <c r="B259" s="379" t="s">
        <v>26</v>
      </c>
      <c r="C259" s="380" t="s">
        <v>1948</v>
      </c>
      <c r="D259" s="380" t="s">
        <v>1974</v>
      </c>
      <c r="E259" s="381" t="s">
        <v>21</v>
      </c>
      <c r="F259" s="380" t="s">
        <v>1975</v>
      </c>
      <c r="G259" s="382" t="s">
        <v>1970</v>
      </c>
      <c r="H259" s="380" t="s">
        <v>1967</v>
      </c>
      <c r="I259" s="381"/>
      <c r="J259" s="383" t="s">
        <v>24</v>
      </c>
      <c r="K259" s="384">
        <f t="shared" si="82"/>
        <v>22096.257306037325</v>
      </c>
      <c r="L259" s="384">
        <f t="shared" si="82"/>
        <v>22096.257306037325</v>
      </c>
      <c r="M259" s="384">
        <f t="shared" si="82"/>
        <v>22096.257306037325</v>
      </c>
      <c r="N259" s="384">
        <f t="shared" si="82"/>
        <v>22096.257306037325</v>
      </c>
      <c r="O259" s="384">
        <f t="shared" si="82"/>
        <v>22096.257306037325</v>
      </c>
      <c r="P259" s="384">
        <f t="shared" si="82"/>
        <v>22096.257306037325</v>
      </c>
      <c r="Q259" s="384">
        <f t="shared" si="82"/>
        <v>22096.257306037325</v>
      </c>
      <c r="R259" s="384">
        <f t="shared" si="82"/>
        <v>22096.257306037325</v>
      </c>
      <c r="S259" s="384">
        <f t="shared" si="82"/>
        <v>22096.257306037325</v>
      </c>
      <c r="T259" s="384">
        <f t="shared" si="82"/>
        <v>22096.257306037325</v>
      </c>
      <c r="U259" s="384">
        <f t="shared" si="82"/>
        <v>22096.257306037325</v>
      </c>
      <c r="V259" s="385">
        <f t="shared" si="82"/>
        <v>22096.257306037325</v>
      </c>
      <c r="W259" s="400">
        <v>265155.0876724479</v>
      </c>
      <c r="X259" s="205">
        <f t="shared" si="84"/>
        <v>132577.54383622395</v>
      </c>
      <c r="Y259" s="251" t="s">
        <v>1965</v>
      </c>
      <c r="Z259" s="275"/>
      <c r="AA259" s="218"/>
      <c r="AB259">
        <v>1</v>
      </c>
      <c r="AF259">
        <v>12</v>
      </c>
    </row>
    <row r="260" spans="1:32" ht="15.75" hidden="1" customHeight="1" thickBot="1">
      <c r="A260" s="209">
        <v>264</v>
      </c>
      <c r="B260" s="379" t="s">
        <v>26</v>
      </c>
      <c r="C260" s="380" t="s">
        <v>1948</v>
      </c>
      <c r="D260" s="380" t="s">
        <v>1974</v>
      </c>
      <c r="E260" s="381" t="s">
        <v>21</v>
      </c>
      <c r="F260" s="380" t="s">
        <v>1975</v>
      </c>
      <c r="G260" s="382" t="s">
        <v>1970</v>
      </c>
      <c r="H260" s="380" t="s">
        <v>1967</v>
      </c>
      <c r="I260" s="381"/>
      <c r="J260" s="213" t="s">
        <v>14</v>
      </c>
      <c r="K260" s="384">
        <f t="shared" si="82"/>
        <v>160754.23003103177</v>
      </c>
      <c r="L260" s="384">
        <f t="shared" si="82"/>
        <v>160754.23003103177</v>
      </c>
      <c r="M260" s="384">
        <f t="shared" si="82"/>
        <v>160754.23003103177</v>
      </c>
      <c r="N260" s="384">
        <f t="shared" si="82"/>
        <v>160754.23003103177</v>
      </c>
      <c r="O260" s="384">
        <f t="shared" si="82"/>
        <v>160754.23003103177</v>
      </c>
      <c r="P260" s="384">
        <f t="shared" si="82"/>
        <v>160754.23003103177</v>
      </c>
      <c r="Q260" s="384">
        <f t="shared" si="82"/>
        <v>160754.23003103177</v>
      </c>
      <c r="R260" s="384">
        <f t="shared" si="82"/>
        <v>160754.23003103177</v>
      </c>
      <c r="S260" s="384">
        <f t="shared" si="82"/>
        <v>160754.23003103177</v>
      </c>
      <c r="T260" s="384">
        <f t="shared" si="82"/>
        <v>160754.23003103177</v>
      </c>
      <c r="U260" s="384">
        <f t="shared" si="82"/>
        <v>160754.23003103177</v>
      </c>
      <c r="V260" s="385">
        <f t="shared" si="82"/>
        <v>160754.23003103177</v>
      </c>
      <c r="W260" s="399">
        <f>W259+W258</f>
        <v>1929050.7603723812</v>
      </c>
      <c r="X260" s="205">
        <f t="shared" si="84"/>
        <v>964525.3801861906</v>
      </c>
      <c r="Y260" s="251" t="s">
        <v>1965</v>
      </c>
      <c r="Z260" s="275"/>
      <c r="AA260" s="218"/>
      <c r="AB260">
        <v>1</v>
      </c>
      <c r="AF260">
        <v>12</v>
      </c>
    </row>
    <row r="261" spans="1:32" ht="15.75" hidden="1" customHeight="1" thickBot="1">
      <c r="A261" s="193">
        <v>265</v>
      </c>
      <c r="B261" s="379" t="s">
        <v>26</v>
      </c>
      <c r="C261" s="380" t="s">
        <v>1948</v>
      </c>
      <c r="D261" s="380" t="s">
        <v>1974</v>
      </c>
      <c r="E261" s="381" t="s">
        <v>21</v>
      </c>
      <c r="F261" s="380" t="s">
        <v>1975</v>
      </c>
      <c r="G261" s="382" t="s">
        <v>1970</v>
      </c>
      <c r="H261" s="380" t="s">
        <v>1967</v>
      </c>
      <c r="I261" s="381"/>
      <c r="J261" s="261" t="s">
        <v>25</v>
      </c>
      <c r="K261" s="384" t="e">
        <f>K257/K256</f>
        <v>#DIV/0!</v>
      </c>
      <c r="L261" s="384" t="e">
        <f t="shared" ref="L261:W261" si="86">L257/L256</f>
        <v>#DIV/0!</v>
      </c>
      <c r="M261" s="384" t="e">
        <f t="shared" si="86"/>
        <v>#DIV/0!</v>
      </c>
      <c r="N261" s="384" t="e">
        <f t="shared" si="86"/>
        <v>#DIV/0!</v>
      </c>
      <c r="O261" s="384" t="e">
        <f t="shared" si="86"/>
        <v>#DIV/0!</v>
      </c>
      <c r="P261" s="384" t="e">
        <f t="shared" si="86"/>
        <v>#DIV/0!</v>
      </c>
      <c r="Q261" s="384" t="e">
        <f t="shared" si="86"/>
        <v>#DIV/0!</v>
      </c>
      <c r="R261" s="384" t="e">
        <f t="shared" si="86"/>
        <v>#DIV/0!</v>
      </c>
      <c r="S261" s="384" t="e">
        <f t="shared" si="86"/>
        <v>#DIV/0!</v>
      </c>
      <c r="T261" s="384" t="e">
        <f t="shared" si="86"/>
        <v>#DIV/0!</v>
      </c>
      <c r="U261" s="384" t="e">
        <f t="shared" si="86"/>
        <v>#DIV/0!</v>
      </c>
      <c r="V261" s="385" t="e">
        <f t="shared" si="86"/>
        <v>#DIV/0!</v>
      </c>
      <c r="W261" s="399" t="e">
        <f t="shared" si="86"/>
        <v>#DIV/0!</v>
      </c>
      <c r="X261" s="324" t="e">
        <f t="shared" si="84"/>
        <v>#DIV/0!</v>
      </c>
      <c r="Y261" s="251" t="s">
        <v>1965</v>
      </c>
      <c r="Z261" s="275"/>
      <c r="AA261" s="218"/>
      <c r="AB261">
        <v>2</v>
      </c>
      <c r="AF261">
        <v>12</v>
      </c>
    </row>
    <row r="262" spans="1:32" ht="15.75" hidden="1" customHeight="1" thickBot="1">
      <c r="A262" s="209">
        <v>266</v>
      </c>
      <c r="B262" s="389" t="s">
        <v>26</v>
      </c>
      <c r="C262" s="390" t="s">
        <v>1948</v>
      </c>
      <c r="D262" s="390" t="s">
        <v>1974</v>
      </c>
      <c r="E262" s="391" t="s">
        <v>21</v>
      </c>
      <c r="F262" s="390" t="s">
        <v>1975</v>
      </c>
      <c r="G262" s="392" t="s">
        <v>1970</v>
      </c>
      <c r="H262" s="390" t="s">
        <v>1967</v>
      </c>
      <c r="I262" s="391"/>
      <c r="J262" s="430" t="s">
        <v>16</v>
      </c>
      <c r="K262" s="409">
        <f>K260/K257</f>
        <v>149.57360319239987</v>
      </c>
      <c r="L262" s="409">
        <f t="shared" ref="L262:W262" si="87">L260/L257</f>
        <v>149.57360319239987</v>
      </c>
      <c r="M262" s="409">
        <f t="shared" si="87"/>
        <v>149.57360319239987</v>
      </c>
      <c r="N262" s="409">
        <f t="shared" si="87"/>
        <v>149.57360319239987</v>
      </c>
      <c r="O262" s="409">
        <f t="shared" si="87"/>
        <v>149.57360319239987</v>
      </c>
      <c r="P262" s="409">
        <f t="shared" si="87"/>
        <v>149.57360319239987</v>
      </c>
      <c r="Q262" s="409">
        <f t="shared" si="87"/>
        <v>149.57360319239987</v>
      </c>
      <c r="R262" s="409">
        <f t="shared" si="87"/>
        <v>149.57360319239987</v>
      </c>
      <c r="S262" s="409">
        <f t="shared" si="87"/>
        <v>149.57360319239987</v>
      </c>
      <c r="T262" s="409">
        <f t="shared" si="87"/>
        <v>149.57360319239987</v>
      </c>
      <c r="U262" s="409">
        <f t="shared" si="87"/>
        <v>149.57360319239987</v>
      </c>
      <c r="V262" s="410">
        <f t="shared" si="87"/>
        <v>149.57360319239987</v>
      </c>
      <c r="W262" s="411">
        <f t="shared" si="87"/>
        <v>149.57360319239987</v>
      </c>
      <c r="X262" s="397">
        <f t="shared" si="84"/>
        <v>897.44161915439929</v>
      </c>
      <c r="Y262" s="251" t="s">
        <v>1965</v>
      </c>
      <c r="Z262" s="279"/>
      <c r="AA262" s="235"/>
      <c r="AB262">
        <v>2</v>
      </c>
      <c r="AF262">
        <v>12</v>
      </c>
    </row>
    <row r="263" spans="1:32" ht="15.75" hidden="1" customHeight="1" thickBot="1">
      <c r="A263" s="209">
        <v>267</v>
      </c>
      <c r="B263" s="371" t="s">
        <v>26</v>
      </c>
      <c r="C263" s="372" t="s">
        <v>1931</v>
      </c>
      <c r="D263" s="372"/>
      <c r="E263" s="373" t="s">
        <v>21</v>
      </c>
      <c r="F263" s="372" t="s">
        <v>1969</v>
      </c>
      <c r="G263" s="374" t="s">
        <v>1970</v>
      </c>
      <c r="H263" s="372" t="s">
        <v>1964</v>
      </c>
      <c r="I263" s="373" t="s">
        <v>1971</v>
      </c>
      <c r="J263" s="375" t="s">
        <v>22</v>
      </c>
      <c r="K263" s="376">
        <f t="shared" ref="K263:V281" si="88">$W263/$AF263</f>
        <v>0</v>
      </c>
      <c r="L263" s="376">
        <f t="shared" si="88"/>
        <v>0</v>
      </c>
      <c r="M263" s="376">
        <f t="shared" si="88"/>
        <v>0</v>
      </c>
      <c r="N263" s="376">
        <f t="shared" si="88"/>
        <v>0</v>
      </c>
      <c r="O263" s="376">
        <f t="shared" si="88"/>
        <v>0</v>
      </c>
      <c r="P263" s="376">
        <f t="shared" si="88"/>
        <v>0</v>
      </c>
      <c r="Q263" s="376">
        <f t="shared" si="88"/>
        <v>0</v>
      </c>
      <c r="R263" s="376">
        <f t="shared" si="88"/>
        <v>0</v>
      </c>
      <c r="S263" s="376">
        <f t="shared" si="88"/>
        <v>0</v>
      </c>
      <c r="T263" s="376">
        <f t="shared" si="88"/>
        <v>0</v>
      </c>
      <c r="U263" s="376">
        <f t="shared" si="88"/>
        <v>0</v>
      </c>
      <c r="V263" s="377">
        <f t="shared" si="88"/>
        <v>0</v>
      </c>
      <c r="W263" s="429"/>
      <c r="X263" s="205">
        <f t="shared" si="84"/>
        <v>0</v>
      </c>
      <c r="Y263" s="251" t="s">
        <v>1965</v>
      </c>
      <c r="Z263" s="286"/>
      <c r="AA263" s="244"/>
      <c r="AB263">
        <v>1</v>
      </c>
      <c r="AF263">
        <v>12</v>
      </c>
    </row>
    <row r="264" spans="1:32" ht="15.75" hidden="1" customHeight="1" thickBot="1">
      <c r="A264" s="209">
        <v>268</v>
      </c>
      <c r="B264" s="379" t="s">
        <v>26</v>
      </c>
      <c r="C264" s="380" t="s">
        <v>1931</v>
      </c>
      <c r="D264" s="380"/>
      <c r="E264" s="381" t="s">
        <v>21</v>
      </c>
      <c r="F264" s="380" t="s">
        <v>1969</v>
      </c>
      <c r="G264" s="382" t="s">
        <v>1970</v>
      </c>
      <c r="H264" s="380" t="s">
        <v>1964</v>
      </c>
      <c r="I264" s="381" t="s">
        <v>1971</v>
      </c>
      <c r="J264" s="383" t="s">
        <v>10</v>
      </c>
      <c r="K264" s="384">
        <f t="shared" si="88"/>
        <v>43740.85915723889</v>
      </c>
      <c r="L264" s="384">
        <f t="shared" si="88"/>
        <v>43740.85915723889</v>
      </c>
      <c r="M264" s="384">
        <f t="shared" si="88"/>
        <v>43740.85915723889</v>
      </c>
      <c r="N264" s="384">
        <f t="shared" si="88"/>
        <v>43740.85915723889</v>
      </c>
      <c r="O264" s="384">
        <f t="shared" si="88"/>
        <v>43740.85915723889</v>
      </c>
      <c r="P264" s="384">
        <f t="shared" si="88"/>
        <v>43740.85915723889</v>
      </c>
      <c r="Q264" s="384">
        <f t="shared" si="88"/>
        <v>43740.85915723889</v>
      </c>
      <c r="R264" s="384">
        <f t="shared" si="88"/>
        <v>43740.85915723889</v>
      </c>
      <c r="S264" s="384">
        <f t="shared" si="88"/>
        <v>43740.85915723889</v>
      </c>
      <c r="T264" s="384">
        <f t="shared" si="88"/>
        <v>43740.85915723889</v>
      </c>
      <c r="U264" s="384">
        <f t="shared" si="88"/>
        <v>43740.85915723889</v>
      </c>
      <c r="V264" s="385">
        <f t="shared" si="88"/>
        <v>43740.85915723889</v>
      </c>
      <c r="W264" s="400">
        <v>524890.30988686671</v>
      </c>
      <c r="X264" s="205">
        <f t="shared" si="84"/>
        <v>262445.15494343336</v>
      </c>
      <c r="Y264" s="251" t="s">
        <v>1965</v>
      </c>
      <c r="Z264" s="275"/>
      <c r="AA264" s="218"/>
      <c r="AB264">
        <v>1</v>
      </c>
      <c r="AF264">
        <v>12</v>
      </c>
    </row>
    <row r="265" spans="1:32" ht="15.75" hidden="1" customHeight="1" thickBot="1">
      <c r="A265" s="193">
        <v>269</v>
      </c>
      <c r="B265" s="379" t="s">
        <v>26</v>
      </c>
      <c r="C265" s="380" t="s">
        <v>1931</v>
      </c>
      <c r="D265" s="380"/>
      <c r="E265" s="381" t="s">
        <v>21</v>
      </c>
      <c r="F265" s="380" t="s">
        <v>1969</v>
      </c>
      <c r="G265" s="382" t="s">
        <v>1970</v>
      </c>
      <c r="H265" s="380" t="s">
        <v>1964</v>
      </c>
      <c r="I265" s="381" t="s">
        <v>1971</v>
      </c>
      <c r="J265" s="383" t="s">
        <v>23</v>
      </c>
      <c r="K265" s="384">
        <f t="shared" si="88"/>
        <v>900381.70346402156</v>
      </c>
      <c r="L265" s="384">
        <f t="shared" si="88"/>
        <v>900381.70346402156</v>
      </c>
      <c r="M265" s="384">
        <f t="shared" si="88"/>
        <v>900381.70346402156</v>
      </c>
      <c r="N265" s="384">
        <f t="shared" si="88"/>
        <v>900381.70346402156</v>
      </c>
      <c r="O265" s="384">
        <f t="shared" si="88"/>
        <v>900381.70346402156</v>
      </c>
      <c r="P265" s="384">
        <f t="shared" si="88"/>
        <v>900381.70346402156</v>
      </c>
      <c r="Q265" s="384">
        <f t="shared" si="88"/>
        <v>900381.70346402156</v>
      </c>
      <c r="R265" s="384">
        <f t="shared" si="88"/>
        <v>900381.70346402156</v>
      </c>
      <c r="S265" s="384">
        <f t="shared" si="88"/>
        <v>900381.70346402156</v>
      </c>
      <c r="T265" s="384">
        <f t="shared" si="88"/>
        <v>900381.70346402156</v>
      </c>
      <c r="U265" s="384">
        <f t="shared" si="88"/>
        <v>900381.70346402156</v>
      </c>
      <c r="V265" s="385">
        <f t="shared" si="88"/>
        <v>900381.70346402156</v>
      </c>
      <c r="W265" s="400">
        <f>8356483.44156826+2448097</f>
        <v>10804580.441568259</v>
      </c>
      <c r="X265" s="205">
        <f t="shared" si="84"/>
        <v>5402290.2207841296</v>
      </c>
      <c r="Y265" s="251" t="s">
        <v>1965</v>
      </c>
      <c r="Z265" s="275"/>
      <c r="AA265" s="218"/>
      <c r="AB265">
        <v>1</v>
      </c>
      <c r="AF265">
        <v>12</v>
      </c>
    </row>
    <row r="266" spans="1:32" ht="15.75" hidden="1" customHeight="1" thickBot="1">
      <c r="A266" s="209">
        <v>270</v>
      </c>
      <c r="B266" s="379" t="s">
        <v>26</v>
      </c>
      <c r="C266" s="380" t="s">
        <v>1931</v>
      </c>
      <c r="D266" s="380"/>
      <c r="E266" s="381" t="s">
        <v>21</v>
      </c>
      <c r="F266" s="380" t="s">
        <v>1969</v>
      </c>
      <c r="G266" s="382" t="s">
        <v>1970</v>
      </c>
      <c r="H266" s="380" t="s">
        <v>1964</v>
      </c>
      <c r="I266" s="381" t="s">
        <v>1971</v>
      </c>
      <c r="J266" s="383" t="s">
        <v>24</v>
      </c>
      <c r="K266" s="384">
        <f t="shared" si="88"/>
        <v>143483.04113472666</v>
      </c>
      <c r="L266" s="384">
        <f t="shared" si="88"/>
        <v>143483.04113472666</v>
      </c>
      <c r="M266" s="384">
        <f t="shared" si="88"/>
        <v>143483.04113472666</v>
      </c>
      <c r="N266" s="384">
        <f t="shared" si="88"/>
        <v>143483.04113472666</v>
      </c>
      <c r="O266" s="384">
        <f t="shared" si="88"/>
        <v>143483.04113472666</v>
      </c>
      <c r="P266" s="384">
        <f t="shared" si="88"/>
        <v>143483.04113472666</v>
      </c>
      <c r="Q266" s="384">
        <f t="shared" si="88"/>
        <v>143483.04113472666</v>
      </c>
      <c r="R266" s="384">
        <f t="shared" si="88"/>
        <v>143483.04113472666</v>
      </c>
      <c r="S266" s="384">
        <f t="shared" si="88"/>
        <v>143483.04113472666</v>
      </c>
      <c r="T266" s="384">
        <f t="shared" si="88"/>
        <v>143483.04113472666</v>
      </c>
      <c r="U266" s="384">
        <f t="shared" si="88"/>
        <v>143483.04113472666</v>
      </c>
      <c r="V266" s="385">
        <f t="shared" si="88"/>
        <v>143483.04113472666</v>
      </c>
      <c r="W266" s="400">
        <f>1331672.49361672+390124</f>
        <v>1721796.49361672</v>
      </c>
      <c r="X266" s="205">
        <f t="shared" si="84"/>
        <v>860898.2468083601</v>
      </c>
      <c r="Y266" s="251" t="s">
        <v>1965</v>
      </c>
      <c r="Z266" s="275"/>
      <c r="AA266" s="218"/>
      <c r="AB266">
        <v>1</v>
      </c>
      <c r="AF266">
        <v>12</v>
      </c>
    </row>
    <row r="267" spans="1:32" ht="15.75" hidden="1" customHeight="1" thickBot="1">
      <c r="A267" s="209">
        <v>271</v>
      </c>
      <c r="B267" s="379" t="s">
        <v>26</v>
      </c>
      <c r="C267" s="380" t="s">
        <v>1931</v>
      </c>
      <c r="D267" s="380"/>
      <c r="E267" s="381" t="s">
        <v>21</v>
      </c>
      <c r="F267" s="380" t="s">
        <v>1969</v>
      </c>
      <c r="G267" s="382" t="s">
        <v>1970</v>
      </c>
      <c r="H267" s="380" t="s">
        <v>1964</v>
      </c>
      <c r="I267" s="381" t="s">
        <v>1971</v>
      </c>
      <c r="J267" s="213" t="s">
        <v>14</v>
      </c>
      <c r="K267" s="384">
        <f t="shared" si="88"/>
        <v>1043864.7445987483</v>
      </c>
      <c r="L267" s="384">
        <f t="shared" si="88"/>
        <v>1043864.7445987483</v>
      </c>
      <c r="M267" s="384">
        <f t="shared" si="88"/>
        <v>1043864.7445987483</v>
      </c>
      <c r="N267" s="384">
        <f t="shared" si="88"/>
        <v>1043864.7445987483</v>
      </c>
      <c r="O267" s="384">
        <f t="shared" si="88"/>
        <v>1043864.7445987483</v>
      </c>
      <c r="P267" s="384">
        <f t="shared" si="88"/>
        <v>1043864.7445987483</v>
      </c>
      <c r="Q267" s="384">
        <f t="shared" si="88"/>
        <v>1043864.7445987483</v>
      </c>
      <c r="R267" s="384">
        <f t="shared" si="88"/>
        <v>1043864.7445987483</v>
      </c>
      <c r="S267" s="384">
        <f t="shared" si="88"/>
        <v>1043864.7445987483</v>
      </c>
      <c r="T267" s="384">
        <f t="shared" si="88"/>
        <v>1043864.7445987483</v>
      </c>
      <c r="U267" s="384">
        <f t="shared" si="88"/>
        <v>1043864.7445987483</v>
      </c>
      <c r="V267" s="385">
        <f t="shared" si="88"/>
        <v>1043864.7445987483</v>
      </c>
      <c r="W267" s="399">
        <f>W266+W265</f>
        <v>12526376.93518498</v>
      </c>
      <c r="X267" s="205">
        <f t="shared" si="84"/>
        <v>6263188.4675924899</v>
      </c>
      <c r="Y267" s="251" t="s">
        <v>1965</v>
      </c>
      <c r="Z267" s="275"/>
      <c r="AA267" s="218"/>
      <c r="AB267">
        <v>1</v>
      </c>
      <c r="AF267">
        <v>12</v>
      </c>
    </row>
    <row r="268" spans="1:32" ht="15.75" hidden="1" customHeight="1" thickBot="1">
      <c r="A268" s="209">
        <v>272</v>
      </c>
      <c r="B268" s="379" t="s">
        <v>26</v>
      </c>
      <c r="C268" s="380" t="s">
        <v>1931</v>
      </c>
      <c r="D268" s="380"/>
      <c r="E268" s="381" t="s">
        <v>21</v>
      </c>
      <c r="F268" s="380" t="s">
        <v>1969</v>
      </c>
      <c r="G268" s="382" t="s">
        <v>1970</v>
      </c>
      <c r="H268" s="380" t="s">
        <v>1964</v>
      </c>
      <c r="I268" s="381" t="s">
        <v>1971</v>
      </c>
      <c r="J268" s="261" t="s">
        <v>25</v>
      </c>
      <c r="K268" s="384" t="e">
        <f>K264/K263</f>
        <v>#DIV/0!</v>
      </c>
      <c r="L268" s="384" t="e">
        <f t="shared" ref="L268:V268" si="89">L264/L263</f>
        <v>#DIV/0!</v>
      </c>
      <c r="M268" s="384" t="e">
        <f t="shared" si="89"/>
        <v>#DIV/0!</v>
      </c>
      <c r="N268" s="384" t="e">
        <f t="shared" si="89"/>
        <v>#DIV/0!</v>
      </c>
      <c r="O268" s="384" t="e">
        <f t="shared" si="89"/>
        <v>#DIV/0!</v>
      </c>
      <c r="P268" s="384" t="e">
        <f t="shared" si="89"/>
        <v>#DIV/0!</v>
      </c>
      <c r="Q268" s="384" t="e">
        <f t="shared" si="89"/>
        <v>#DIV/0!</v>
      </c>
      <c r="R268" s="384" t="e">
        <f t="shared" si="89"/>
        <v>#DIV/0!</v>
      </c>
      <c r="S268" s="384" t="e">
        <f t="shared" si="89"/>
        <v>#DIV/0!</v>
      </c>
      <c r="T268" s="384" t="e">
        <f t="shared" si="89"/>
        <v>#DIV/0!</v>
      </c>
      <c r="U268" s="384" t="e">
        <f t="shared" si="89"/>
        <v>#DIV/0!</v>
      </c>
      <c r="V268" s="385" t="e">
        <f t="shared" si="89"/>
        <v>#DIV/0!</v>
      </c>
      <c r="W268" s="399" t="e">
        <f>W264/W263</f>
        <v>#DIV/0!</v>
      </c>
      <c r="X268" s="388" t="e">
        <f t="shared" si="84"/>
        <v>#DIV/0!</v>
      </c>
      <c r="Y268" s="251" t="s">
        <v>1965</v>
      </c>
      <c r="Z268" s="275"/>
      <c r="AA268" s="218"/>
      <c r="AB268">
        <v>2</v>
      </c>
      <c r="AF268">
        <v>12</v>
      </c>
    </row>
    <row r="269" spans="1:32" ht="15.75" hidden="1" customHeight="1" thickBot="1">
      <c r="A269" s="193">
        <v>273</v>
      </c>
      <c r="B269" s="389" t="s">
        <v>26</v>
      </c>
      <c r="C269" s="390" t="s">
        <v>1931</v>
      </c>
      <c r="D269" s="390"/>
      <c r="E269" s="391" t="s">
        <v>21</v>
      </c>
      <c r="F269" s="390" t="s">
        <v>1969</v>
      </c>
      <c r="G269" s="392" t="s">
        <v>1970</v>
      </c>
      <c r="H269" s="390" t="s">
        <v>1964</v>
      </c>
      <c r="I269" s="391" t="s">
        <v>1971</v>
      </c>
      <c r="J269" s="430" t="s">
        <v>16</v>
      </c>
      <c r="K269" s="409">
        <f>K267/K264</f>
        <v>23.86475173810101</v>
      </c>
      <c r="L269" s="409">
        <f t="shared" ref="L269:W269" si="90">L267/L264</f>
        <v>23.86475173810101</v>
      </c>
      <c r="M269" s="409">
        <f t="shared" si="90"/>
        <v>23.86475173810101</v>
      </c>
      <c r="N269" s="409">
        <f t="shared" si="90"/>
        <v>23.86475173810101</v>
      </c>
      <c r="O269" s="409">
        <f t="shared" si="90"/>
        <v>23.86475173810101</v>
      </c>
      <c r="P269" s="409">
        <f t="shared" si="90"/>
        <v>23.86475173810101</v>
      </c>
      <c r="Q269" s="409">
        <f t="shared" si="90"/>
        <v>23.86475173810101</v>
      </c>
      <c r="R269" s="409">
        <f t="shared" si="90"/>
        <v>23.86475173810101</v>
      </c>
      <c r="S269" s="409">
        <f t="shared" si="90"/>
        <v>23.86475173810101</v>
      </c>
      <c r="T269" s="409">
        <f t="shared" si="90"/>
        <v>23.86475173810101</v>
      </c>
      <c r="U269" s="409">
        <f t="shared" si="90"/>
        <v>23.86475173810101</v>
      </c>
      <c r="V269" s="410">
        <f t="shared" si="90"/>
        <v>23.86475173810101</v>
      </c>
      <c r="W269" s="411">
        <f t="shared" si="90"/>
        <v>23.86475173810101</v>
      </c>
      <c r="X269" s="397">
        <f t="shared" si="84"/>
        <v>143.18851042860607</v>
      </c>
      <c r="Y269" s="251" t="s">
        <v>1965</v>
      </c>
      <c r="Z269" s="279"/>
      <c r="AA269" s="235"/>
      <c r="AB269">
        <v>2</v>
      </c>
      <c r="AF269">
        <v>12</v>
      </c>
    </row>
    <row r="270" spans="1:32" ht="15.75" hidden="1" customHeight="1" thickBot="1">
      <c r="A270" s="209">
        <v>274</v>
      </c>
      <c r="B270" s="371" t="s">
        <v>26</v>
      </c>
      <c r="C270" s="372" t="s">
        <v>1931</v>
      </c>
      <c r="D270" s="372"/>
      <c r="E270" s="373" t="s">
        <v>21</v>
      </c>
      <c r="F270" s="372" t="s">
        <v>1969</v>
      </c>
      <c r="G270" s="374" t="s">
        <v>1970</v>
      </c>
      <c r="H270" s="372" t="s">
        <v>1964</v>
      </c>
      <c r="I270" s="373" t="s">
        <v>1973</v>
      </c>
      <c r="J270" s="375" t="s">
        <v>22</v>
      </c>
      <c r="K270" s="376">
        <f t="shared" si="88"/>
        <v>0</v>
      </c>
      <c r="L270" s="376">
        <f t="shared" si="88"/>
        <v>0</v>
      </c>
      <c r="M270" s="376">
        <f t="shared" si="88"/>
        <v>0</v>
      </c>
      <c r="N270" s="376">
        <f t="shared" si="88"/>
        <v>0</v>
      </c>
      <c r="O270" s="376">
        <f t="shared" si="88"/>
        <v>0</v>
      </c>
      <c r="P270" s="376">
        <f t="shared" si="88"/>
        <v>0</v>
      </c>
      <c r="Q270" s="376">
        <f t="shared" si="88"/>
        <v>0</v>
      </c>
      <c r="R270" s="376">
        <f t="shared" si="88"/>
        <v>0</v>
      </c>
      <c r="S270" s="376">
        <f t="shared" si="88"/>
        <v>0</v>
      </c>
      <c r="T270" s="376">
        <f t="shared" si="88"/>
        <v>0</v>
      </c>
      <c r="U270" s="376">
        <f t="shared" si="88"/>
        <v>0</v>
      </c>
      <c r="V270" s="377">
        <f t="shared" si="88"/>
        <v>0</v>
      </c>
      <c r="W270" s="429"/>
      <c r="X270" s="205">
        <f t="shared" si="84"/>
        <v>0</v>
      </c>
      <c r="Y270" s="251" t="s">
        <v>1965</v>
      </c>
      <c r="Z270" s="286"/>
      <c r="AA270" s="244"/>
      <c r="AB270">
        <v>1</v>
      </c>
      <c r="AF270">
        <v>12</v>
      </c>
    </row>
    <row r="271" spans="1:32" ht="15.75" hidden="1" customHeight="1" thickBot="1">
      <c r="A271" s="209">
        <v>275</v>
      </c>
      <c r="B271" s="379" t="s">
        <v>26</v>
      </c>
      <c r="C271" s="380" t="s">
        <v>1931</v>
      </c>
      <c r="D271" s="380"/>
      <c r="E271" s="381" t="s">
        <v>21</v>
      </c>
      <c r="F271" s="380" t="s">
        <v>1969</v>
      </c>
      <c r="G271" s="382" t="s">
        <v>1970</v>
      </c>
      <c r="H271" s="380" t="s">
        <v>1964</v>
      </c>
      <c r="I271" s="381" t="s">
        <v>1973</v>
      </c>
      <c r="J271" s="383" t="s">
        <v>10</v>
      </c>
      <c r="K271" s="384">
        <f t="shared" si="88"/>
        <v>28063.583333333332</v>
      </c>
      <c r="L271" s="384">
        <f t="shared" si="88"/>
        <v>28063.583333333332</v>
      </c>
      <c r="M271" s="384">
        <f t="shared" si="88"/>
        <v>28063.583333333332</v>
      </c>
      <c r="N271" s="384">
        <f t="shared" si="88"/>
        <v>28063.583333333332</v>
      </c>
      <c r="O271" s="384">
        <f t="shared" si="88"/>
        <v>28063.583333333332</v>
      </c>
      <c r="P271" s="384">
        <f t="shared" si="88"/>
        <v>28063.583333333332</v>
      </c>
      <c r="Q271" s="384">
        <f t="shared" si="88"/>
        <v>28063.583333333332</v>
      </c>
      <c r="R271" s="384">
        <f t="shared" si="88"/>
        <v>28063.583333333332</v>
      </c>
      <c r="S271" s="384">
        <f t="shared" si="88"/>
        <v>28063.583333333332</v>
      </c>
      <c r="T271" s="384">
        <f t="shared" si="88"/>
        <v>28063.583333333332</v>
      </c>
      <c r="U271" s="384">
        <f t="shared" si="88"/>
        <v>28063.583333333332</v>
      </c>
      <c r="V271" s="385">
        <f t="shared" si="88"/>
        <v>28063.583333333332</v>
      </c>
      <c r="W271" s="400">
        <v>336763</v>
      </c>
      <c r="X271" s="205">
        <f t="shared" si="84"/>
        <v>168381.5</v>
      </c>
      <c r="Y271" s="251" t="s">
        <v>1965</v>
      </c>
      <c r="Z271" s="275"/>
      <c r="AA271" s="218"/>
      <c r="AB271">
        <v>1</v>
      </c>
      <c r="AF271">
        <v>12</v>
      </c>
    </row>
    <row r="272" spans="1:32" ht="15.75" hidden="1" customHeight="1" thickBot="1">
      <c r="A272" s="209">
        <v>276</v>
      </c>
      <c r="B272" s="379" t="s">
        <v>26</v>
      </c>
      <c r="C272" s="380" t="s">
        <v>1931</v>
      </c>
      <c r="D272" s="380"/>
      <c r="E272" s="381" t="s">
        <v>21</v>
      </c>
      <c r="F272" s="380" t="s">
        <v>1969</v>
      </c>
      <c r="G272" s="382" t="s">
        <v>1970</v>
      </c>
      <c r="H272" s="380" t="s">
        <v>1964</v>
      </c>
      <c r="I272" s="381" t="s">
        <v>1973</v>
      </c>
      <c r="J272" s="383" t="s">
        <v>23</v>
      </c>
      <c r="K272" s="384">
        <f t="shared" si="88"/>
        <v>960410.30505770829</v>
      </c>
      <c r="L272" s="384">
        <f t="shared" si="88"/>
        <v>960410.30505770829</v>
      </c>
      <c r="M272" s="384">
        <f t="shared" si="88"/>
        <v>960410.30505770829</v>
      </c>
      <c r="N272" s="384">
        <f t="shared" si="88"/>
        <v>960410.30505770829</v>
      </c>
      <c r="O272" s="384">
        <f t="shared" si="88"/>
        <v>960410.30505770829</v>
      </c>
      <c r="P272" s="384">
        <f t="shared" si="88"/>
        <v>960410.30505770829</v>
      </c>
      <c r="Q272" s="384">
        <f t="shared" si="88"/>
        <v>960410.30505770829</v>
      </c>
      <c r="R272" s="384">
        <f t="shared" si="88"/>
        <v>960410.30505770829</v>
      </c>
      <c r="S272" s="384">
        <f t="shared" si="88"/>
        <v>960410.30505770829</v>
      </c>
      <c r="T272" s="384">
        <f t="shared" si="88"/>
        <v>960410.30505770829</v>
      </c>
      <c r="U272" s="384">
        <f t="shared" si="88"/>
        <v>960410.30505770829</v>
      </c>
      <c r="V272" s="385">
        <f t="shared" si="88"/>
        <v>960410.30505770829</v>
      </c>
      <c r="W272" s="400">
        <v>11524923.6606925</v>
      </c>
      <c r="X272" s="205">
        <f t="shared" si="84"/>
        <v>5762461.83034625</v>
      </c>
      <c r="Y272" s="251" t="s">
        <v>1965</v>
      </c>
      <c r="Z272" s="275"/>
      <c r="AA272" s="218"/>
      <c r="AB272">
        <v>1</v>
      </c>
      <c r="AF272">
        <v>12</v>
      </c>
    </row>
    <row r="273" spans="1:32" ht="15.75" hidden="1" customHeight="1" thickBot="1">
      <c r="A273" s="193">
        <v>277</v>
      </c>
      <c r="B273" s="379" t="s">
        <v>26</v>
      </c>
      <c r="C273" s="380" t="s">
        <v>1931</v>
      </c>
      <c r="D273" s="380"/>
      <c r="E273" s="381" t="s">
        <v>21</v>
      </c>
      <c r="F273" s="380" t="s">
        <v>1969</v>
      </c>
      <c r="G273" s="382" t="s">
        <v>1970</v>
      </c>
      <c r="H273" s="380" t="s">
        <v>1964</v>
      </c>
      <c r="I273" s="381" t="s">
        <v>1973</v>
      </c>
      <c r="J273" s="383" t="s">
        <v>24</v>
      </c>
      <c r="K273" s="384">
        <f t="shared" si="88"/>
        <v>153049.06600657044</v>
      </c>
      <c r="L273" s="384">
        <f t="shared" si="88"/>
        <v>153049.06600657044</v>
      </c>
      <c r="M273" s="384">
        <f t="shared" si="88"/>
        <v>153049.06600657044</v>
      </c>
      <c r="N273" s="384">
        <f t="shared" si="88"/>
        <v>153049.06600657044</v>
      </c>
      <c r="O273" s="384">
        <f t="shared" si="88"/>
        <v>153049.06600657044</v>
      </c>
      <c r="P273" s="384">
        <f t="shared" si="88"/>
        <v>153049.06600657044</v>
      </c>
      <c r="Q273" s="384">
        <f t="shared" si="88"/>
        <v>153049.06600657044</v>
      </c>
      <c r="R273" s="384">
        <f t="shared" si="88"/>
        <v>153049.06600657044</v>
      </c>
      <c r="S273" s="384">
        <f t="shared" si="88"/>
        <v>153049.06600657044</v>
      </c>
      <c r="T273" s="384">
        <f t="shared" si="88"/>
        <v>153049.06600657044</v>
      </c>
      <c r="U273" s="384">
        <f t="shared" si="88"/>
        <v>153049.06600657044</v>
      </c>
      <c r="V273" s="385">
        <f t="shared" si="88"/>
        <v>153049.06600657044</v>
      </c>
      <c r="W273" s="400">
        <v>1836588.7920788454</v>
      </c>
      <c r="X273" s="205">
        <f t="shared" si="84"/>
        <v>918294.39603942272</v>
      </c>
      <c r="Y273" s="251" t="s">
        <v>1965</v>
      </c>
      <c r="Z273" s="275"/>
      <c r="AA273" s="218"/>
      <c r="AB273">
        <v>1</v>
      </c>
      <c r="AF273">
        <v>12</v>
      </c>
    </row>
    <row r="274" spans="1:32" ht="15.75" hidden="1" customHeight="1" thickBot="1">
      <c r="A274" s="209">
        <v>278</v>
      </c>
      <c r="B274" s="379" t="s">
        <v>26</v>
      </c>
      <c r="C274" s="380" t="s">
        <v>1931</v>
      </c>
      <c r="D274" s="380"/>
      <c r="E274" s="381" t="s">
        <v>21</v>
      </c>
      <c r="F274" s="380" t="s">
        <v>1969</v>
      </c>
      <c r="G274" s="382" t="s">
        <v>1970</v>
      </c>
      <c r="H274" s="380" t="s">
        <v>1964</v>
      </c>
      <c r="I274" s="381" t="s">
        <v>1973</v>
      </c>
      <c r="J274" s="213" t="s">
        <v>14</v>
      </c>
      <c r="K274" s="384">
        <f t="shared" si="88"/>
        <v>1113459.3710642788</v>
      </c>
      <c r="L274" s="384">
        <f t="shared" si="88"/>
        <v>1113459.3710642788</v>
      </c>
      <c r="M274" s="384">
        <f t="shared" si="88"/>
        <v>1113459.3710642788</v>
      </c>
      <c r="N274" s="384">
        <f t="shared" si="88"/>
        <v>1113459.3710642788</v>
      </c>
      <c r="O274" s="384">
        <f t="shared" si="88"/>
        <v>1113459.3710642788</v>
      </c>
      <c r="P274" s="384">
        <f t="shared" si="88"/>
        <v>1113459.3710642788</v>
      </c>
      <c r="Q274" s="384">
        <f t="shared" si="88"/>
        <v>1113459.3710642788</v>
      </c>
      <c r="R274" s="384">
        <f t="shared" si="88"/>
        <v>1113459.3710642788</v>
      </c>
      <c r="S274" s="384">
        <f t="shared" si="88"/>
        <v>1113459.3710642788</v>
      </c>
      <c r="T274" s="384">
        <f t="shared" si="88"/>
        <v>1113459.3710642788</v>
      </c>
      <c r="U274" s="384">
        <f t="shared" si="88"/>
        <v>1113459.3710642788</v>
      </c>
      <c r="V274" s="385">
        <f t="shared" si="88"/>
        <v>1113459.3710642788</v>
      </c>
      <c r="W274" s="399">
        <f>W273+W272</f>
        <v>13361512.452771345</v>
      </c>
      <c r="X274" s="205">
        <f t="shared" si="84"/>
        <v>6680756.2263856735</v>
      </c>
      <c r="Y274" s="251" t="s">
        <v>1965</v>
      </c>
      <c r="Z274" s="275"/>
      <c r="AA274" s="218"/>
      <c r="AB274">
        <v>1</v>
      </c>
      <c r="AF274">
        <v>12</v>
      </c>
    </row>
    <row r="275" spans="1:32" ht="15.75" hidden="1" customHeight="1" thickBot="1">
      <c r="A275" s="209">
        <v>279</v>
      </c>
      <c r="B275" s="379" t="s">
        <v>26</v>
      </c>
      <c r="C275" s="380" t="s">
        <v>1931</v>
      </c>
      <c r="D275" s="380"/>
      <c r="E275" s="381" t="s">
        <v>21</v>
      </c>
      <c r="F275" s="380" t="s">
        <v>1969</v>
      </c>
      <c r="G275" s="382" t="s">
        <v>1970</v>
      </c>
      <c r="H275" s="380" t="s">
        <v>1964</v>
      </c>
      <c r="I275" s="381" t="s">
        <v>1973</v>
      </c>
      <c r="J275" s="261" t="s">
        <v>25</v>
      </c>
      <c r="K275" s="384" t="e">
        <f>K271/K270</f>
        <v>#DIV/0!</v>
      </c>
      <c r="L275" s="384" t="e">
        <f t="shared" ref="L275:W275" si="91">L271/L270</f>
        <v>#DIV/0!</v>
      </c>
      <c r="M275" s="384" t="e">
        <f t="shared" si="91"/>
        <v>#DIV/0!</v>
      </c>
      <c r="N275" s="384" t="e">
        <f t="shared" si="91"/>
        <v>#DIV/0!</v>
      </c>
      <c r="O275" s="384" t="e">
        <f t="shared" si="91"/>
        <v>#DIV/0!</v>
      </c>
      <c r="P275" s="384" t="e">
        <f t="shared" si="91"/>
        <v>#DIV/0!</v>
      </c>
      <c r="Q275" s="384" t="e">
        <f t="shared" si="91"/>
        <v>#DIV/0!</v>
      </c>
      <c r="R275" s="384" t="e">
        <f t="shared" si="91"/>
        <v>#DIV/0!</v>
      </c>
      <c r="S275" s="384" t="e">
        <f t="shared" si="91"/>
        <v>#DIV/0!</v>
      </c>
      <c r="T275" s="384" t="e">
        <f t="shared" si="91"/>
        <v>#DIV/0!</v>
      </c>
      <c r="U275" s="384" t="e">
        <f t="shared" si="91"/>
        <v>#DIV/0!</v>
      </c>
      <c r="V275" s="385" t="e">
        <f t="shared" si="91"/>
        <v>#DIV/0!</v>
      </c>
      <c r="W275" s="399" t="e">
        <f t="shared" si="91"/>
        <v>#DIV/0!</v>
      </c>
      <c r="X275" s="388" t="e">
        <f t="shared" si="84"/>
        <v>#DIV/0!</v>
      </c>
      <c r="Y275" s="251" t="s">
        <v>1965</v>
      </c>
      <c r="Z275" s="275"/>
      <c r="AA275" s="218"/>
      <c r="AB275">
        <v>2</v>
      </c>
      <c r="AF275">
        <v>12</v>
      </c>
    </row>
    <row r="276" spans="1:32" ht="15.75" hidden="1" customHeight="1" thickBot="1">
      <c r="A276" s="209">
        <v>280</v>
      </c>
      <c r="B276" s="389" t="s">
        <v>26</v>
      </c>
      <c r="C276" s="390" t="s">
        <v>1931</v>
      </c>
      <c r="D276" s="390"/>
      <c r="E276" s="391" t="s">
        <v>21</v>
      </c>
      <c r="F276" s="390" t="s">
        <v>1969</v>
      </c>
      <c r="G276" s="392" t="s">
        <v>1970</v>
      </c>
      <c r="H276" s="390" t="s">
        <v>1964</v>
      </c>
      <c r="I276" s="391" t="s">
        <v>1973</v>
      </c>
      <c r="J276" s="430" t="s">
        <v>16</v>
      </c>
      <c r="K276" s="409">
        <f>K274/K271</f>
        <v>39.676307827081196</v>
      </c>
      <c r="L276" s="409">
        <f t="shared" ref="L276:W276" si="92">L274/L271</f>
        <v>39.676307827081196</v>
      </c>
      <c r="M276" s="409">
        <f t="shared" si="92"/>
        <v>39.676307827081196</v>
      </c>
      <c r="N276" s="409">
        <f t="shared" si="92"/>
        <v>39.676307827081196</v>
      </c>
      <c r="O276" s="409">
        <f t="shared" si="92"/>
        <v>39.676307827081196</v>
      </c>
      <c r="P276" s="409">
        <f t="shared" si="92"/>
        <v>39.676307827081196</v>
      </c>
      <c r="Q276" s="409">
        <f t="shared" si="92"/>
        <v>39.676307827081196</v>
      </c>
      <c r="R276" s="409">
        <f t="shared" si="92"/>
        <v>39.676307827081196</v>
      </c>
      <c r="S276" s="409">
        <f t="shared" si="92"/>
        <v>39.676307827081196</v>
      </c>
      <c r="T276" s="409">
        <f t="shared" si="92"/>
        <v>39.676307827081196</v>
      </c>
      <c r="U276" s="409">
        <f t="shared" si="92"/>
        <v>39.676307827081196</v>
      </c>
      <c r="V276" s="410">
        <f t="shared" si="92"/>
        <v>39.676307827081196</v>
      </c>
      <c r="W276" s="411">
        <f t="shared" si="92"/>
        <v>39.676307827081196</v>
      </c>
      <c r="X276" s="397">
        <f t="shared" si="84"/>
        <v>238.05784696248716</v>
      </c>
      <c r="Y276" s="251" t="s">
        <v>1965</v>
      </c>
      <c r="Z276" s="279"/>
      <c r="AA276" s="235"/>
      <c r="AB276">
        <v>2</v>
      </c>
      <c r="AF276">
        <v>12</v>
      </c>
    </row>
    <row r="277" spans="1:32" ht="15.75" hidden="1" customHeight="1" thickBot="1">
      <c r="A277" s="193">
        <v>281</v>
      </c>
      <c r="B277" s="371" t="s">
        <v>26</v>
      </c>
      <c r="C277" s="372" t="s">
        <v>1943</v>
      </c>
      <c r="D277" s="372" t="s">
        <v>1943</v>
      </c>
      <c r="E277" s="373" t="s">
        <v>21</v>
      </c>
      <c r="F277" s="375" t="s">
        <v>1975</v>
      </c>
      <c r="G277" s="374" t="s">
        <v>1970</v>
      </c>
      <c r="H277" s="372" t="s">
        <v>1967</v>
      </c>
      <c r="I277" s="373"/>
      <c r="J277" s="375" t="s">
        <v>22</v>
      </c>
      <c r="K277" s="376">
        <f t="shared" si="88"/>
        <v>0</v>
      </c>
      <c r="L277" s="376">
        <f t="shared" si="88"/>
        <v>0</v>
      </c>
      <c r="M277" s="376">
        <f t="shared" si="88"/>
        <v>0</v>
      </c>
      <c r="N277" s="376">
        <f t="shared" si="88"/>
        <v>0</v>
      </c>
      <c r="O277" s="376">
        <f t="shared" si="88"/>
        <v>0</v>
      </c>
      <c r="P277" s="376">
        <f t="shared" si="88"/>
        <v>0</v>
      </c>
      <c r="Q277" s="376">
        <f t="shared" si="88"/>
        <v>0</v>
      </c>
      <c r="R277" s="376">
        <f t="shared" si="88"/>
        <v>0</v>
      </c>
      <c r="S277" s="376">
        <f t="shared" si="88"/>
        <v>0</v>
      </c>
      <c r="T277" s="376">
        <f t="shared" si="88"/>
        <v>0</v>
      </c>
      <c r="U277" s="376">
        <f t="shared" si="88"/>
        <v>0</v>
      </c>
      <c r="V277" s="377">
        <f t="shared" si="88"/>
        <v>0</v>
      </c>
      <c r="W277" s="429"/>
      <c r="X277" s="205">
        <f t="shared" si="84"/>
        <v>0</v>
      </c>
      <c r="Y277" s="251" t="s">
        <v>1965</v>
      </c>
      <c r="Z277" s="286"/>
      <c r="AA277" s="244"/>
      <c r="AB277">
        <v>1</v>
      </c>
      <c r="AF277">
        <v>12</v>
      </c>
    </row>
    <row r="278" spans="1:32" ht="15.75" hidden="1" customHeight="1" thickBot="1">
      <c r="A278" s="209">
        <v>282</v>
      </c>
      <c r="B278" s="379" t="s">
        <v>26</v>
      </c>
      <c r="C278" s="380" t="s">
        <v>1943</v>
      </c>
      <c r="D278" s="380" t="s">
        <v>1943</v>
      </c>
      <c r="E278" s="381" t="s">
        <v>21</v>
      </c>
      <c r="F278" s="383" t="s">
        <v>1975</v>
      </c>
      <c r="G278" s="382" t="s">
        <v>1970</v>
      </c>
      <c r="H278" s="380" t="s">
        <v>1967</v>
      </c>
      <c r="I278" s="381"/>
      <c r="J278" s="383" t="s">
        <v>10</v>
      </c>
      <c r="K278" s="384">
        <f t="shared" si="88"/>
        <v>9828.0833333333339</v>
      </c>
      <c r="L278" s="384">
        <f t="shared" si="88"/>
        <v>9828.0833333333339</v>
      </c>
      <c r="M278" s="384">
        <f t="shared" si="88"/>
        <v>9828.0833333333339</v>
      </c>
      <c r="N278" s="384">
        <f t="shared" si="88"/>
        <v>9828.0833333333339</v>
      </c>
      <c r="O278" s="384">
        <f t="shared" si="88"/>
        <v>9828.0833333333339</v>
      </c>
      <c r="P278" s="384">
        <f t="shared" si="88"/>
        <v>9828.0833333333339</v>
      </c>
      <c r="Q278" s="384">
        <f t="shared" si="88"/>
        <v>9828.0833333333339</v>
      </c>
      <c r="R278" s="384">
        <f t="shared" si="88"/>
        <v>9828.0833333333339</v>
      </c>
      <c r="S278" s="384">
        <f t="shared" si="88"/>
        <v>9828.0833333333339</v>
      </c>
      <c r="T278" s="384">
        <f t="shared" si="88"/>
        <v>9828.0833333333339</v>
      </c>
      <c r="U278" s="384">
        <f t="shared" si="88"/>
        <v>9828.0833333333339</v>
      </c>
      <c r="V278" s="385">
        <f t="shared" si="88"/>
        <v>9828.0833333333339</v>
      </c>
      <c r="W278" s="400">
        <v>117937</v>
      </c>
      <c r="X278" s="205">
        <f t="shared" si="84"/>
        <v>58968.500000000007</v>
      </c>
      <c r="Y278" s="251" t="s">
        <v>1965</v>
      </c>
      <c r="Z278" s="275"/>
      <c r="AA278" s="218"/>
      <c r="AB278">
        <v>1</v>
      </c>
      <c r="AF278">
        <v>12</v>
      </c>
    </row>
    <row r="279" spans="1:32" ht="15.75" hidden="1" customHeight="1" thickBot="1">
      <c r="A279" s="209">
        <v>283</v>
      </c>
      <c r="B279" s="379" t="s">
        <v>26</v>
      </c>
      <c r="C279" s="380" t="s">
        <v>1943</v>
      </c>
      <c r="D279" s="380" t="s">
        <v>1943</v>
      </c>
      <c r="E279" s="381" t="s">
        <v>21</v>
      </c>
      <c r="F279" s="383" t="s">
        <v>1975</v>
      </c>
      <c r="G279" s="382" t="s">
        <v>1970</v>
      </c>
      <c r="H279" s="380" t="s">
        <v>1967</v>
      </c>
      <c r="I279" s="381"/>
      <c r="J279" s="383" t="s">
        <v>23</v>
      </c>
      <c r="K279" s="384">
        <f t="shared" si="88"/>
        <v>413106.36854516878</v>
      </c>
      <c r="L279" s="384">
        <f t="shared" si="88"/>
        <v>413106.36854516878</v>
      </c>
      <c r="M279" s="384">
        <f t="shared" si="88"/>
        <v>413106.36854516878</v>
      </c>
      <c r="N279" s="384">
        <f t="shared" si="88"/>
        <v>413106.36854516878</v>
      </c>
      <c r="O279" s="384">
        <f t="shared" si="88"/>
        <v>413106.36854516878</v>
      </c>
      <c r="P279" s="384">
        <f t="shared" si="88"/>
        <v>413106.36854516878</v>
      </c>
      <c r="Q279" s="384">
        <f t="shared" si="88"/>
        <v>413106.36854516878</v>
      </c>
      <c r="R279" s="384">
        <f t="shared" si="88"/>
        <v>413106.36854516878</v>
      </c>
      <c r="S279" s="384">
        <f t="shared" si="88"/>
        <v>413106.36854516878</v>
      </c>
      <c r="T279" s="384">
        <f t="shared" si="88"/>
        <v>413106.36854516878</v>
      </c>
      <c r="U279" s="384">
        <f t="shared" si="88"/>
        <v>413106.36854516878</v>
      </c>
      <c r="V279" s="385">
        <f t="shared" si="88"/>
        <v>413106.36854516878</v>
      </c>
      <c r="W279" s="400">
        <v>4957276.4225420253</v>
      </c>
      <c r="X279" s="205">
        <f t="shared" si="84"/>
        <v>2478638.2112710127</v>
      </c>
      <c r="Y279" s="251" t="s">
        <v>1965</v>
      </c>
      <c r="Z279" s="275"/>
      <c r="AA279" s="218"/>
      <c r="AB279">
        <v>1</v>
      </c>
      <c r="AF279">
        <v>12</v>
      </c>
    </row>
    <row r="280" spans="1:32" ht="15.75" hidden="1" customHeight="1" thickBot="1">
      <c r="A280" s="209">
        <v>284</v>
      </c>
      <c r="B280" s="379" t="s">
        <v>26</v>
      </c>
      <c r="C280" s="380" t="s">
        <v>1943</v>
      </c>
      <c r="D280" s="380" t="s">
        <v>1943</v>
      </c>
      <c r="E280" s="381" t="s">
        <v>21</v>
      </c>
      <c r="F280" s="383" t="s">
        <v>1975</v>
      </c>
      <c r="G280" s="382" t="s">
        <v>1970</v>
      </c>
      <c r="H280" s="380" t="s">
        <v>1967</v>
      </c>
      <c r="I280" s="381"/>
      <c r="J280" s="383" t="s">
        <v>24</v>
      </c>
      <c r="K280" s="384">
        <f t="shared" si="88"/>
        <v>65831.804942373172</v>
      </c>
      <c r="L280" s="384">
        <f t="shared" si="88"/>
        <v>65831.804942373172</v>
      </c>
      <c r="M280" s="384">
        <f t="shared" si="88"/>
        <v>65831.804942373172</v>
      </c>
      <c r="N280" s="384">
        <f t="shared" si="88"/>
        <v>65831.804942373172</v>
      </c>
      <c r="O280" s="384">
        <f t="shared" si="88"/>
        <v>65831.804942373172</v>
      </c>
      <c r="P280" s="384">
        <f t="shared" si="88"/>
        <v>65831.804942373172</v>
      </c>
      <c r="Q280" s="384">
        <f t="shared" si="88"/>
        <v>65831.804942373172</v>
      </c>
      <c r="R280" s="384">
        <f t="shared" si="88"/>
        <v>65831.804942373172</v>
      </c>
      <c r="S280" s="384">
        <f t="shared" si="88"/>
        <v>65831.804942373172</v>
      </c>
      <c r="T280" s="384">
        <f t="shared" si="88"/>
        <v>65831.804942373172</v>
      </c>
      <c r="U280" s="384">
        <f t="shared" si="88"/>
        <v>65831.804942373172</v>
      </c>
      <c r="V280" s="385">
        <f t="shared" si="88"/>
        <v>65831.804942373172</v>
      </c>
      <c r="W280" s="400">
        <v>789981.659308478</v>
      </c>
      <c r="X280" s="205">
        <f t="shared" si="84"/>
        <v>394990.82965423906</v>
      </c>
      <c r="Y280" s="251" t="s">
        <v>1965</v>
      </c>
      <c r="Z280" s="275"/>
      <c r="AA280" s="218"/>
      <c r="AB280">
        <v>1</v>
      </c>
      <c r="AF280">
        <v>12</v>
      </c>
    </row>
    <row r="281" spans="1:32" ht="15.75" hidden="1" customHeight="1" thickBot="1">
      <c r="A281" s="193">
        <v>285</v>
      </c>
      <c r="B281" s="379" t="s">
        <v>26</v>
      </c>
      <c r="C281" s="380" t="s">
        <v>1943</v>
      </c>
      <c r="D281" s="380" t="s">
        <v>1943</v>
      </c>
      <c r="E281" s="381" t="s">
        <v>21</v>
      </c>
      <c r="F281" s="383" t="s">
        <v>1975</v>
      </c>
      <c r="G281" s="382" t="s">
        <v>1970</v>
      </c>
      <c r="H281" s="380" t="s">
        <v>1967</v>
      </c>
      <c r="I281" s="381"/>
      <c r="J281" s="431" t="s">
        <v>14</v>
      </c>
      <c r="K281" s="384">
        <f t="shared" si="88"/>
        <v>478938.17348754196</v>
      </c>
      <c r="L281" s="384">
        <f t="shared" si="88"/>
        <v>478938.17348754196</v>
      </c>
      <c r="M281" s="384">
        <f t="shared" si="88"/>
        <v>478938.17348754196</v>
      </c>
      <c r="N281" s="384">
        <f t="shared" si="88"/>
        <v>478938.17348754196</v>
      </c>
      <c r="O281" s="384">
        <f t="shared" si="88"/>
        <v>478938.17348754196</v>
      </c>
      <c r="P281" s="384">
        <f t="shared" si="88"/>
        <v>478938.17348754196</v>
      </c>
      <c r="Q281" s="384">
        <f t="shared" si="88"/>
        <v>478938.17348754196</v>
      </c>
      <c r="R281" s="384">
        <f t="shared" si="88"/>
        <v>478938.17348754196</v>
      </c>
      <c r="S281" s="384">
        <f t="shared" si="88"/>
        <v>478938.17348754196</v>
      </c>
      <c r="T281" s="384">
        <f t="shared" si="88"/>
        <v>478938.17348754196</v>
      </c>
      <c r="U281" s="384">
        <f t="shared" si="88"/>
        <v>478938.17348754196</v>
      </c>
      <c r="V281" s="385">
        <f t="shared" si="88"/>
        <v>478938.17348754196</v>
      </c>
      <c r="W281" s="399">
        <f>W280+W279</f>
        <v>5747258.0818505036</v>
      </c>
      <c r="X281" s="205">
        <f t="shared" si="84"/>
        <v>2873629.0409252523</v>
      </c>
      <c r="Y281" s="251" t="s">
        <v>1965</v>
      </c>
      <c r="Z281" s="275"/>
      <c r="AA281" s="218"/>
      <c r="AB281">
        <v>1</v>
      </c>
      <c r="AF281">
        <v>12</v>
      </c>
    </row>
    <row r="282" spans="1:32" ht="15.75" hidden="1" customHeight="1" thickBot="1">
      <c r="A282" s="209">
        <v>286</v>
      </c>
      <c r="B282" s="379" t="s">
        <v>26</v>
      </c>
      <c r="C282" s="380" t="s">
        <v>1943</v>
      </c>
      <c r="D282" s="380" t="s">
        <v>1943</v>
      </c>
      <c r="E282" s="381" t="s">
        <v>21</v>
      </c>
      <c r="F282" s="383" t="s">
        <v>1975</v>
      </c>
      <c r="G282" s="382" t="s">
        <v>1970</v>
      </c>
      <c r="H282" s="380" t="s">
        <v>1967</v>
      </c>
      <c r="I282" s="381"/>
      <c r="J282" s="431" t="s">
        <v>25</v>
      </c>
      <c r="K282" s="384" t="e">
        <f>K278/K277</f>
        <v>#DIV/0!</v>
      </c>
      <c r="L282" s="384" t="e">
        <f t="shared" ref="L282:W282" si="93">L278/L277</f>
        <v>#DIV/0!</v>
      </c>
      <c r="M282" s="384" t="e">
        <f t="shared" si="93"/>
        <v>#DIV/0!</v>
      </c>
      <c r="N282" s="384" t="e">
        <f t="shared" si="93"/>
        <v>#DIV/0!</v>
      </c>
      <c r="O282" s="384" t="e">
        <f t="shared" si="93"/>
        <v>#DIV/0!</v>
      </c>
      <c r="P282" s="384" t="e">
        <f t="shared" si="93"/>
        <v>#DIV/0!</v>
      </c>
      <c r="Q282" s="384" t="e">
        <f t="shared" si="93"/>
        <v>#DIV/0!</v>
      </c>
      <c r="R282" s="384" t="e">
        <f t="shared" si="93"/>
        <v>#DIV/0!</v>
      </c>
      <c r="S282" s="384" t="e">
        <f t="shared" si="93"/>
        <v>#DIV/0!</v>
      </c>
      <c r="T282" s="384" t="e">
        <f t="shared" si="93"/>
        <v>#DIV/0!</v>
      </c>
      <c r="U282" s="384" t="e">
        <f t="shared" si="93"/>
        <v>#DIV/0!</v>
      </c>
      <c r="V282" s="385" t="e">
        <f t="shared" si="93"/>
        <v>#DIV/0!</v>
      </c>
      <c r="W282" s="399" t="e">
        <f t="shared" si="93"/>
        <v>#DIV/0!</v>
      </c>
      <c r="X282" s="324" t="e">
        <f t="shared" si="84"/>
        <v>#DIV/0!</v>
      </c>
      <c r="Y282" s="251" t="s">
        <v>1965</v>
      </c>
      <c r="Z282" s="275"/>
      <c r="AA282" s="218"/>
      <c r="AB282">
        <v>2</v>
      </c>
      <c r="AF282">
        <v>12</v>
      </c>
    </row>
    <row r="283" spans="1:32" ht="15.75" hidden="1" customHeight="1" thickBot="1">
      <c r="A283" s="209">
        <v>287</v>
      </c>
      <c r="B283" s="389" t="s">
        <v>26</v>
      </c>
      <c r="C283" s="390" t="s">
        <v>1943</v>
      </c>
      <c r="D283" s="390" t="s">
        <v>1943</v>
      </c>
      <c r="E283" s="391" t="s">
        <v>21</v>
      </c>
      <c r="F283" s="393" t="s">
        <v>1975</v>
      </c>
      <c r="G283" s="392" t="s">
        <v>1970</v>
      </c>
      <c r="H283" s="390" t="s">
        <v>1967</v>
      </c>
      <c r="I283" s="391"/>
      <c r="J283" s="432" t="s">
        <v>16</v>
      </c>
      <c r="K283" s="409">
        <f>K281/K278</f>
        <v>48.731594680638842</v>
      </c>
      <c r="L283" s="409">
        <f t="shared" ref="L283:W283" si="94">L281/L278</f>
        <v>48.731594680638842</v>
      </c>
      <c r="M283" s="409">
        <f t="shared" si="94"/>
        <v>48.731594680638842</v>
      </c>
      <c r="N283" s="409">
        <f t="shared" si="94"/>
        <v>48.731594680638842</v>
      </c>
      <c r="O283" s="409">
        <f t="shared" si="94"/>
        <v>48.731594680638842</v>
      </c>
      <c r="P283" s="409">
        <f t="shared" si="94"/>
        <v>48.731594680638842</v>
      </c>
      <c r="Q283" s="409">
        <f t="shared" si="94"/>
        <v>48.731594680638842</v>
      </c>
      <c r="R283" s="409">
        <f t="shared" si="94"/>
        <v>48.731594680638842</v>
      </c>
      <c r="S283" s="409">
        <f t="shared" si="94"/>
        <v>48.731594680638842</v>
      </c>
      <c r="T283" s="409">
        <f t="shared" si="94"/>
        <v>48.731594680638842</v>
      </c>
      <c r="U283" s="409">
        <f t="shared" si="94"/>
        <v>48.731594680638842</v>
      </c>
      <c r="V283" s="410">
        <f t="shared" si="94"/>
        <v>48.731594680638842</v>
      </c>
      <c r="W283" s="411">
        <f t="shared" si="94"/>
        <v>48.731594680638842</v>
      </c>
      <c r="X283" s="412">
        <f t="shared" si="84"/>
        <v>292.38956808383307</v>
      </c>
      <c r="Y283" s="251" t="s">
        <v>1965</v>
      </c>
      <c r="Z283" s="279"/>
      <c r="AA283" s="235"/>
      <c r="AB283">
        <v>2</v>
      </c>
      <c r="AF283">
        <v>12</v>
      </c>
    </row>
    <row r="284" spans="1:32" ht="15.75" hidden="1" customHeight="1" thickBot="1">
      <c r="A284" s="209">
        <v>288</v>
      </c>
      <c r="B284" s="371" t="s">
        <v>26</v>
      </c>
      <c r="C284" s="372" t="s">
        <v>1943</v>
      </c>
      <c r="D284" s="372" t="s">
        <v>1943</v>
      </c>
      <c r="E284" s="373" t="s">
        <v>21</v>
      </c>
      <c r="F284" s="403" t="s">
        <v>1975</v>
      </c>
      <c r="G284" s="424" t="s">
        <v>1970</v>
      </c>
      <c r="H284" s="403" t="s">
        <v>1964</v>
      </c>
      <c r="I284" s="404"/>
      <c r="J284" s="433" t="s">
        <v>22</v>
      </c>
      <c r="K284" s="406">
        <f t="shared" ref="K284:V288" si="95">$W284/$AF284</f>
        <v>0</v>
      </c>
      <c r="L284" s="406">
        <f t="shared" si="95"/>
        <v>0</v>
      </c>
      <c r="M284" s="406">
        <f t="shared" si="95"/>
        <v>0</v>
      </c>
      <c r="N284" s="406">
        <f t="shared" si="95"/>
        <v>0</v>
      </c>
      <c r="O284" s="406">
        <f t="shared" si="95"/>
        <v>0</v>
      </c>
      <c r="P284" s="406">
        <f t="shared" si="95"/>
        <v>0</v>
      </c>
      <c r="Q284" s="406">
        <f t="shared" si="95"/>
        <v>0</v>
      </c>
      <c r="R284" s="406">
        <f t="shared" si="95"/>
        <v>0</v>
      </c>
      <c r="S284" s="406">
        <f t="shared" si="95"/>
        <v>0</v>
      </c>
      <c r="T284" s="406">
        <f t="shared" si="95"/>
        <v>0</v>
      </c>
      <c r="U284" s="406">
        <f t="shared" si="95"/>
        <v>0</v>
      </c>
      <c r="V284" s="407">
        <f t="shared" si="95"/>
        <v>0</v>
      </c>
      <c r="W284" s="429"/>
      <c r="X284" s="205">
        <f t="shared" si="84"/>
        <v>0</v>
      </c>
      <c r="Y284" s="251" t="s">
        <v>1965</v>
      </c>
      <c r="Z284" s="286"/>
      <c r="AA284" s="244"/>
      <c r="AB284">
        <v>1</v>
      </c>
      <c r="AF284">
        <v>12</v>
      </c>
    </row>
    <row r="285" spans="1:32" ht="15.75" hidden="1" customHeight="1" thickBot="1">
      <c r="A285" s="193">
        <v>289</v>
      </c>
      <c r="B285" s="379" t="s">
        <v>26</v>
      </c>
      <c r="C285" s="380" t="s">
        <v>1943</v>
      </c>
      <c r="D285" s="380" t="s">
        <v>1943</v>
      </c>
      <c r="E285" s="381" t="s">
        <v>21</v>
      </c>
      <c r="F285" s="380" t="s">
        <v>1975</v>
      </c>
      <c r="G285" s="382" t="s">
        <v>1970</v>
      </c>
      <c r="H285" s="380" t="s">
        <v>1964</v>
      </c>
      <c r="I285" s="381"/>
      <c r="J285" s="431" t="s">
        <v>10</v>
      </c>
      <c r="K285" s="384">
        <f t="shared" si="95"/>
        <v>1729.1666666666667</v>
      </c>
      <c r="L285" s="384">
        <f t="shared" si="95"/>
        <v>1729.1666666666667</v>
      </c>
      <c r="M285" s="384">
        <f t="shared" si="95"/>
        <v>1729.1666666666667</v>
      </c>
      <c r="N285" s="384">
        <f t="shared" si="95"/>
        <v>1729.1666666666667</v>
      </c>
      <c r="O285" s="384">
        <f t="shared" si="95"/>
        <v>1729.1666666666667</v>
      </c>
      <c r="P285" s="384">
        <f t="shared" si="95"/>
        <v>1729.1666666666667</v>
      </c>
      <c r="Q285" s="384">
        <f t="shared" si="95"/>
        <v>1729.1666666666667</v>
      </c>
      <c r="R285" s="384">
        <f t="shared" si="95"/>
        <v>1729.1666666666667</v>
      </c>
      <c r="S285" s="384">
        <f t="shared" si="95"/>
        <v>1729.1666666666667</v>
      </c>
      <c r="T285" s="384">
        <f t="shared" si="95"/>
        <v>1729.1666666666667</v>
      </c>
      <c r="U285" s="384">
        <f t="shared" si="95"/>
        <v>1729.1666666666667</v>
      </c>
      <c r="V285" s="385">
        <f t="shared" si="95"/>
        <v>1729.1666666666667</v>
      </c>
      <c r="W285" s="400">
        <v>20750</v>
      </c>
      <c r="X285" s="205">
        <f t="shared" si="84"/>
        <v>10375</v>
      </c>
      <c r="Y285" s="251" t="s">
        <v>1965</v>
      </c>
      <c r="Z285" s="275"/>
      <c r="AA285" s="218"/>
      <c r="AB285">
        <v>1</v>
      </c>
      <c r="AF285">
        <v>12</v>
      </c>
    </row>
    <row r="286" spans="1:32" ht="15.75" hidden="1" customHeight="1" thickBot="1">
      <c r="A286" s="209">
        <v>290</v>
      </c>
      <c r="B286" s="379" t="s">
        <v>26</v>
      </c>
      <c r="C286" s="380" t="s">
        <v>1943</v>
      </c>
      <c r="D286" s="380" t="s">
        <v>1943</v>
      </c>
      <c r="E286" s="381" t="s">
        <v>21</v>
      </c>
      <c r="F286" s="380" t="s">
        <v>1975</v>
      </c>
      <c r="G286" s="382" t="s">
        <v>1970</v>
      </c>
      <c r="H286" s="380" t="s">
        <v>1964</v>
      </c>
      <c r="I286" s="381"/>
      <c r="J286" s="431" t="s">
        <v>23</v>
      </c>
      <c r="K286" s="384">
        <f t="shared" si="95"/>
        <v>101081.12445096538</v>
      </c>
      <c r="L286" s="384">
        <f t="shared" si="95"/>
        <v>101081.12445096538</v>
      </c>
      <c r="M286" s="384">
        <f t="shared" si="95"/>
        <v>101081.12445096538</v>
      </c>
      <c r="N286" s="384">
        <f t="shared" si="95"/>
        <v>101081.12445096538</v>
      </c>
      <c r="O286" s="384">
        <f t="shared" si="95"/>
        <v>101081.12445096538</v>
      </c>
      <c r="P286" s="384">
        <f t="shared" si="95"/>
        <v>101081.12445096538</v>
      </c>
      <c r="Q286" s="384">
        <f t="shared" si="95"/>
        <v>101081.12445096538</v>
      </c>
      <c r="R286" s="384">
        <f t="shared" si="95"/>
        <v>101081.12445096538</v>
      </c>
      <c r="S286" s="384">
        <f t="shared" si="95"/>
        <v>101081.12445096538</v>
      </c>
      <c r="T286" s="384">
        <f t="shared" si="95"/>
        <v>101081.12445096538</v>
      </c>
      <c r="U286" s="384">
        <f t="shared" si="95"/>
        <v>101081.12445096538</v>
      </c>
      <c r="V286" s="385">
        <f t="shared" si="95"/>
        <v>101081.12445096538</v>
      </c>
      <c r="W286" s="400">
        <v>1212973.4934115845</v>
      </c>
      <c r="X286" s="205">
        <f t="shared" si="84"/>
        <v>606486.74670579226</v>
      </c>
      <c r="Y286" s="251" t="s">
        <v>1965</v>
      </c>
      <c r="Z286" s="275"/>
      <c r="AA286" s="218"/>
      <c r="AB286">
        <v>1</v>
      </c>
      <c r="AF286">
        <v>12</v>
      </c>
    </row>
    <row r="287" spans="1:32" ht="15.75" hidden="1" customHeight="1" thickBot="1">
      <c r="A287" s="209">
        <v>291</v>
      </c>
      <c r="B287" s="379" t="s">
        <v>26</v>
      </c>
      <c r="C287" s="380" t="s">
        <v>1943</v>
      </c>
      <c r="D287" s="380" t="s">
        <v>1943</v>
      </c>
      <c r="E287" s="381" t="s">
        <v>21</v>
      </c>
      <c r="F287" s="380" t="s">
        <v>1975</v>
      </c>
      <c r="G287" s="382" t="s">
        <v>1970</v>
      </c>
      <c r="H287" s="380" t="s">
        <v>1964</v>
      </c>
      <c r="I287" s="381"/>
      <c r="J287" s="431" t="s">
        <v>24</v>
      </c>
      <c r="K287" s="384">
        <f t="shared" si="95"/>
        <v>16108.085894793259</v>
      </c>
      <c r="L287" s="384">
        <f t="shared" si="95"/>
        <v>16108.085894793259</v>
      </c>
      <c r="M287" s="384">
        <f t="shared" si="95"/>
        <v>16108.085894793259</v>
      </c>
      <c r="N287" s="384">
        <f t="shared" si="95"/>
        <v>16108.085894793259</v>
      </c>
      <c r="O287" s="384">
        <f t="shared" si="95"/>
        <v>16108.085894793259</v>
      </c>
      <c r="P287" s="384">
        <f t="shared" si="95"/>
        <v>16108.085894793259</v>
      </c>
      <c r="Q287" s="384">
        <f t="shared" si="95"/>
        <v>16108.085894793259</v>
      </c>
      <c r="R287" s="384">
        <f t="shared" si="95"/>
        <v>16108.085894793259</v>
      </c>
      <c r="S287" s="384">
        <f t="shared" si="95"/>
        <v>16108.085894793259</v>
      </c>
      <c r="T287" s="384">
        <f t="shared" si="95"/>
        <v>16108.085894793259</v>
      </c>
      <c r="U287" s="384">
        <f t="shared" si="95"/>
        <v>16108.085894793259</v>
      </c>
      <c r="V287" s="385">
        <f t="shared" si="95"/>
        <v>16108.085894793259</v>
      </c>
      <c r="W287" s="400">
        <v>193297.03073751912</v>
      </c>
      <c r="X287" s="205">
        <f t="shared" si="84"/>
        <v>96648.515368759559</v>
      </c>
      <c r="Y287" s="251" t="s">
        <v>1965</v>
      </c>
      <c r="Z287" s="275"/>
      <c r="AA287" s="218"/>
      <c r="AB287">
        <v>1</v>
      </c>
      <c r="AF287">
        <v>12</v>
      </c>
    </row>
    <row r="288" spans="1:32" ht="15.75" hidden="1" customHeight="1" thickBot="1">
      <c r="A288" s="209">
        <v>292</v>
      </c>
      <c r="B288" s="379" t="s">
        <v>26</v>
      </c>
      <c r="C288" s="380" t="s">
        <v>1943</v>
      </c>
      <c r="D288" s="380" t="s">
        <v>1943</v>
      </c>
      <c r="E288" s="381" t="s">
        <v>21</v>
      </c>
      <c r="F288" s="380" t="s">
        <v>1975</v>
      </c>
      <c r="G288" s="382" t="s">
        <v>1970</v>
      </c>
      <c r="H288" s="380" t="s">
        <v>1964</v>
      </c>
      <c r="I288" s="381"/>
      <c r="J288" s="431" t="s">
        <v>14</v>
      </c>
      <c r="K288" s="384">
        <f t="shared" si="95"/>
        <v>117189.21034575863</v>
      </c>
      <c r="L288" s="384">
        <f t="shared" si="95"/>
        <v>117189.21034575863</v>
      </c>
      <c r="M288" s="384">
        <f t="shared" si="95"/>
        <v>117189.21034575863</v>
      </c>
      <c r="N288" s="384">
        <f t="shared" si="95"/>
        <v>117189.21034575863</v>
      </c>
      <c r="O288" s="384">
        <f t="shared" si="95"/>
        <v>117189.21034575863</v>
      </c>
      <c r="P288" s="384">
        <f t="shared" si="95"/>
        <v>117189.21034575863</v>
      </c>
      <c r="Q288" s="384">
        <f t="shared" si="95"/>
        <v>117189.21034575863</v>
      </c>
      <c r="R288" s="384">
        <f t="shared" si="95"/>
        <v>117189.21034575863</v>
      </c>
      <c r="S288" s="384">
        <f t="shared" si="95"/>
        <v>117189.21034575863</v>
      </c>
      <c r="T288" s="384">
        <f t="shared" si="95"/>
        <v>117189.21034575863</v>
      </c>
      <c r="U288" s="384">
        <f t="shared" si="95"/>
        <v>117189.21034575863</v>
      </c>
      <c r="V288" s="385">
        <f t="shared" si="95"/>
        <v>117189.21034575863</v>
      </c>
      <c r="W288" s="399">
        <f>W287+W286</f>
        <v>1406270.5241491036</v>
      </c>
      <c r="X288" s="205">
        <f t="shared" si="84"/>
        <v>703135.26207455178</v>
      </c>
      <c r="Y288" s="251" t="s">
        <v>1965</v>
      </c>
      <c r="Z288" s="275"/>
      <c r="AA288" s="218"/>
      <c r="AB288">
        <v>1</v>
      </c>
      <c r="AF288">
        <v>12</v>
      </c>
    </row>
    <row r="289" spans="1:32" ht="15.75" hidden="1" customHeight="1" thickBot="1">
      <c r="A289" s="193">
        <v>293</v>
      </c>
      <c r="B289" s="379" t="s">
        <v>26</v>
      </c>
      <c r="C289" s="380" t="s">
        <v>1943</v>
      </c>
      <c r="D289" s="380" t="s">
        <v>1943</v>
      </c>
      <c r="E289" s="381" t="s">
        <v>21</v>
      </c>
      <c r="F289" s="380" t="s">
        <v>1975</v>
      </c>
      <c r="G289" s="382" t="s">
        <v>1970</v>
      </c>
      <c r="H289" s="380" t="s">
        <v>1964</v>
      </c>
      <c r="I289" s="381"/>
      <c r="J289" s="431" t="s">
        <v>25</v>
      </c>
      <c r="K289" s="384" t="e">
        <f>K285/K284</f>
        <v>#DIV/0!</v>
      </c>
      <c r="L289" s="384" t="e">
        <f t="shared" ref="L289:W289" si="96">L285/L284</f>
        <v>#DIV/0!</v>
      </c>
      <c r="M289" s="384" t="e">
        <f t="shared" si="96"/>
        <v>#DIV/0!</v>
      </c>
      <c r="N289" s="384" t="e">
        <f t="shared" si="96"/>
        <v>#DIV/0!</v>
      </c>
      <c r="O289" s="384" t="e">
        <f t="shared" si="96"/>
        <v>#DIV/0!</v>
      </c>
      <c r="P289" s="384" t="e">
        <f t="shared" si="96"/>
        <v>#DIV/0!</v>
      </c>
      <c r="Q289" s="384" t="e">
        <f t="shared" si="96"/>
        <v>#DIV/0!</v>
      </c>
      <c r="R289" s="384" t="e">
        <f t="shared" si="96"/>
        <v>#DIV/0!</v>
      </c>
      <c r="S289" s="384" t="e">
        <f t="shared" si="96"/>
        <v>#DIV/0!</v>
      </c>
      <c r="T289" s="384" t="e">
        <f t="shared" si="96"/>
        <v>#DIV/0!</v>
      </c>
      <c r="U289" s="384" t="e">
        <f t="shared" si="96"/>
        <v>#DIV/0!</v>
      </c>
      <c r="V289" s="385" t="e">
        <f t="shared" si="96"/>
        <v>#DIV/0!</v>
      </c>
      <c r="W289" s="399" t="e">
        <f t="shared" si="96"/>
        <v>#DIV/0!</v>
      </c>
      <c r="X289" s="324" t="e">
        <f t="shared" si="84"/>
        <v>#DIV/0!</v>
      </c>
      <c r="Y289" s="251" t="s">
        <v>1965</v>
      </c>
      <c r="Z289" s="275"/>
      <c r="AA289" s="218"/>
      <c r="AB289">
        <v>2</v>
      </c>
      <c r="AF289">
        <v>12</v>
      </c>
    </row>
    <row r="290" spans="1:32" ht="15.75" hidden="1" customHeight="1" thickBot="1">
      <c r="A290" s="209">
        <v>294</v>
      </c>
      <c r="B290" s="389" t="s">
        <v>26</v>
      </c>
      <c r="C290" s="390" t="s">
        <v>1943</v>
      </c>
      <c r="D290" s="390" t="s">
        <v>1943</v>
      </c>
      <c r="E290" s="391" t="s">
        <v>21</v>
      </c>
      <c r="F290" s="414" t="s">
        <v>1975</v>
      </c>
      <c r="G290" s="416" t="s">
        <v>1970</v>
      </c>
      <c r="H290" s="414" t="s">
        <v>1964</v>
      </c>
      <c r="I290" s="415"/>
      <c r="J290" s="434" t="s">
        <v>16</v>
      </c>
      <c r="K290" s="418">
        <f>K288/K285</f>
        <v>67.77207345296884</v>
      </c>
      <c r="L290" s="418">
        <f t="shared" ref="L290:W290" si="97">L288/L285</f>
        <v>67.77207345296884</v>
      </c>
      <c r="M290" s="418">
        <f t="shared" si="97"/>
        <v>67.77207345296884</v>
      </c>
      <c r="N290" s="418">
        <f t="shared" si="97"/>
        <v>67.77207345296884</v>
      </c>
      <c r="O290" s="418">
        <f t="shared" si="97"/>
        <v>67.77207345296884</v>
      </c>
      <c r="P290" s="418">
        <f t="shared" si="97"/>
        <v>67.77207345296884</v>
      </c>
      <c r="Q290" s="418">
        <f t="shared" si="97"/>
        <v>67.77207345296884</v>
      </c>
      <c r="R290" s="418">
        <f t="shared" si="97"/>
        <v>67.77207345296884</v>
      </c>
      <c r="S290" s="418">
        <f t="shared" si="97"/>
        <v>67.77207345296884</v>
      </c>
      <c r="T290" s="418">
        <f t="shared" si="97"/>
        <v>67.77207345296884</v>
      </c>
      <c r="U290" s="418">
        <f t="shared" si="97"/>
        <v>67.77207345296884</v>
      </c>
      <c r="V290" s="419">
        <f t="shared" si="97"/>
        <v>67.77207345296884</v>
      </c>
      <c r="W290" s="411">
        <f t="shared" si="97"/>
        <v>67.77207345296884</v>
      </c>
      <c r="X290" s="412">
        <f t="shared" si="84"/>
        <v>406.63244071781298</v>
      </c>
      <c r="Y290" s="251" t="s">
        <v>1965</v>
      </c>
      <c r="Z290" s="279"/>
      <c r="AA290" s="235"/>
      <c r="AB290">
        <v>2</v>
      </c>
      <c r="AF290">
        <v>12</v>
      </c>
    </row>
    <row r="291" spans="1:32" ht="15.75" hidden="1" customHeight="1" thickBot="1">
      <c r="A291" s="209">
        <v>295</v>
      </c>
      <c r="B291" s="371" t="s">
        <v>26</v>
      </c>
      <c r="C291" s="372" t="s">
        <v>1943</v>
      </c>
      <c r="D291" s="372" t="s">
        <v>1976</v>
      </c>
      <c r="E291" s="373" t="s">
        <v>21</v>
      </c>
      <c r="F291" s="375" t="s">
        <v>1975</v>
      </c>
      <c r="G291" s="374" t="s">
        <v>1970</v>
      </c>
      <c r="H291" s="372" t="s">
        <v>1964</v>
      </c>
      <c r="I291" s="373"/>
      <c r="J291" s="435" t="s">
        <v>22</v>
      </c>
      <c r="K291" s="376">
        <f t="shared" ref="K291:V295" si="98">$W291/$AF291</f>
        <v>0</v>
      </c>
      <c r="L291" s="376">
        <f t="shared" si="98"/>
        <v>0</v>
      </c>
      <c r="M291" s="376">
        <f t="shared" si="98"/>
        <v>0</v>
      </c>
      <c r="N291" s="376">
        <f t="shared" si="98"/>
        <v>0</v>
      </c>
      <c r="O291" s="376">
        <f t="shared" si="98"/>
        <v>0</v>
      </c>
      <c r="P291" s="376">
        <f t="shared" si="98"/>
        <v>0</v>
      </c>
      <c r="Q291" s="376">
        <f t="shared" si="98"/>
        <v>0</v>
      </c>
      <c r="R291" s="376">
        <f t="shared" si="98"/>
        <v>0</v>
      </c>
      <c r="S291" s="376">
        <f t="shared" si="98"/>
        <v>0</v>
      </c>
      <c r="T291" s="376">
        <f t="shared" si="98"/>
        <v>0</v>
      </c>
      <c r="U291" s="376">
        <f t="shared" si="98"/>
        <v>0</v>
      </c>
      <c r="V291" s="377">
        <f t="shared" si="98"/>
        <v>0</v>
      </c>
      <c r="W291" s="429"/>
      <c r="X291" s="205">
        <f t="shared" si="84"/>
        <v>0</v>
      </c>
      <c r="Y291" s="251" t="s">
        <v>1965</v>
      </c>
      <c r="Z291" s="286"/>
      <c r="AA291" s="244"/>
      <c r="AB291">
        <v>1</v>
      </c>
      <c r="AF291">
        <v>12</v>
      </c>
    </row>
    <row r="292" spans="1:32" ht="15.75" hidden="1" customHeight="1" thickBot="1">
      <c r="A292" s="209">
        <v>296</v>
      </c>
      <c r="B292" s="379" t="s">
        <v>26</v>
      </c>
      <c r="C292" s="380" t="s">
        <v>1943</v>
      </c>
      <c r="D292" s="380" t="s">
        <v>1976</v>
      </c>
      <c r="E292" s="381" t="s">
        <v>21</v>
      </c>
      <c r="F292" s="383" t="s">
        <v>1975</v>
      </c>
      <c r="G292" s="382" t="s">
        <v>1970</v>
      </c>
      <c r="H292" s="380" t="s">
        <v>1964</v>
      </c>
      <c r="I292" s="381"/>
      <c r="J292" s="431" t="s">
        <v>10</v>
      </c>
      <c r="K292" s="384">
        <f t="shared" si="98"/>
        <v>8098.916666666667</v>
      </c>
      <c r="L292" s="384">
        <f t="shared" si="98"/>
        <v>8098.916666666667</v>
      </c>
      <c r="M292" s="384">
        <f t="shared" si="98"/>
        <v>8098.916666666667</v>
      </c>
      <c r="N292" s="384">
        <f t="shared" si="98"/>
        <v>8098.916666666667</v>
      </c>
      <c r="O292" s="384">
        <f t="shared" si="98"/>
        <v>8098.916666666667</v>
      </c>
      <c r="P292" s="384">
        <f t="shared" si="98"/>
        <v>8098.916666666667</v>
      </c>
      <c r="Q292" s="384">
        <f t="shared" si="98"/>
        <v>8098.916666666667</v>
      </c>
      <c r="R292" s="384">
        <f t="shared" si="98"/>
        <v>8098.916666666667</v>
      </c>
      <c r="S292" s="384">
        <f t="shared" si="98"/>
        <v>8098.916666666667</v>
      </c>
      <c r="T292" s="384">
        <f t="shared" si="98"/>
        <v>8098.916666666667</v>
      </c>
      <c r="U292" s="384">
        <f t="shared" si="98"/>
        <v>8098.916666666667</v>
      </c>
      <c r="V292" s="385">
        <f t="shared" si="98"/>
        <v>8098.916666666667</v>
      </c>
      <c r="W292" s="400">
        <v>97187</v>
      </c>
      <c r="X292" s="205">
        <f t="shared" si="84"/>
        <v>48593.5</v>
      </c>
      <c r="Y292" s="251" t="s">
        <v>1965</v>
      </c>
      <c r="Z292" s="275"/>
      <c r="AA292" s="218"/>
      <c r="AB292">
        <v>1</v>
      </c>
      <c r="AF292">
        <v>12</v>
      </c>
    </row>
    <row r="293" spans="1:32" ht="15.75" hidden="1" customHeight="1" thickBot="1">
      <c r="A293" s="193">
        <v>297</v>
      </c>
      <c r="B293" s="379" t="s">
        <v>26</v>
      </c>
      <c r="C293" s="380" t="s">
        <v>1943</v>
      </c>
      <c r="D293" s="380" t="s">
        <v>1976</v>
      </c>
      <c r="E293" s="381" t="s">
        <v>21</v>
      </c>
      <c r="F293" s="383" t="s">
        <v>1975</v>
      </c>
      <c r="G293" s="382" t="s">
        <v>1970</v>
      </c>
      <c r="H293" s="380" t="s">
        <v>1964</v>
      </c>
      <c r="I293" s="381"/>
      <c r="J293" s="431" t="s">
        <v>23</v>
      </c>
      <c r="K293" s="384">
        <f t="shared" si="98"/>
        <v>707852.41948172869</v>
      </c>
      <c r="L293" s="384">
        <f t="shared" si="98"/>
        <v>707852.41948172869</v>
      </c>
      <c r="M293" s="384">
        <f t="shared" si="98"/>
        <v>707852.41948172869</v>
      </c>
      <c r="N293" s="384">
        <f t="shared" si="98"/>
        <v>707852.41948172869</v>
      </c>
      <c r="O293" s="384">
        <f t="shared" si="98"/>
        <v>707852.41948172869</v>
      </c>
      <c r="P293" s="384">
        <f t="shared" si="98"/>
        <v>707852.41948172869</v>
      </c>
      <c r="Q293" s="384">
        <f t="shared" si="98"/>
        <v>707852.41948172869</v>
      </c>
      <c r="R293" s="384">
        <f t="shared" si="98"/>
        <v>707852.41948172869</v>
      </c>
      <c r="S293" s="384">
        <f t="shared" si="98"/>
        <v>707852.41948172869</v>
      </c>
      <c r="T293" s="384">
        <f t="shared" si="98"/>
        <v>707852.41948172869</v>
      </c>
      <c r="U293" s="384">
        <f t="shared" si="98"/>
        <v>707852.41948172869</v>
      </c>
      <c r="V293" s="385">
        <f t="shared" si="98"/>
        <v>707852.41948172869</v>
      </c>
      <c r="W293" s="400">
        <v>8494229.0337807443</v>
      </c>
      <c r="X293" s="205">
        <f t="shared" si="84"/>
        <v>4247114.5168903721</v>
      </c>
      <c r="Y293" s="251" t="s">
        <v>1965</v>
      </c>
      <c r="Z293" s="275"/>
      <c r="AA293" s="218"/>
      <c r="AB293">
        <v>1</v>
      </c>
      <c r="AF293">
        <v>12</v>
      </c>
    </row>
    <row r="294" spans="1:32" ht="15.75" hidden="1" customHeight="1" thickBot="1">
      <c r="A294" s="209">
        <v>298</v>
      </c>
      <c r="B294" s="379" t="s">
        <v>26</v>
      </c>
      <c r="C294" s="380" t="s">
        <v>1943</v>
      </c>
      <c r="D294" s="380" t="s">
        <v>1976</v>
      </c>
      <c r="E294" s="381" t="s">
        <v>21</v>
      </c>
      <c r="F294" s="383" t="s">
        <v>1975</v>
      </c>
      <c r="G294" s="382" t="s">
        <v>1970</v>
      </c>
      <c r="H294" s="380" t="s">
        <v>1964</v>
      </c>
      <c r="I294" s="381"/>
      <c r="J294" s="431" t="s">
        <v>24</v>
      </c>
      <c r="K294" s="384">
        <f t="shared" si="98"/>
        <v>112801.94631570524</v>
      </c>
      <c r="L294" s="384">
        <f t="shared" si="98"/>
        <v>112801.94631570524</v>
      </c>
      <c r="M294" s="384">
        <f t="shared" si="98"/>
        <v>112801.94631570524</v>
      </c>
      <c r="N294" s="384">
        <f t="shared" si="98"/>
        <v>112801.94631570524</v>
      </c>
      <c r="O294" s="384">
        <f t="shared" si="98"/>
        <v>112801.94631570524</v>
      </c>
      <c r="P294" s="384">
        <f t="shared" si="98"/>
        <v>112801.94631570524</v>
      </c>
      <c r="Q294" s="384">
        <f t="shared" si="98"/>
        <v>112801.94631570524</v>
      </c>
      <c r="R294" s="384">
        <f t="shared" si="98"/>
        <v>112801.94631570524</v>
      </c>
      <c r="S294" s="384">
        <f t="shared" si="98"/>
        <v>112801.94631570524</v>
      </c>
      <c r="T294" s="384">
        <f t="shared" si="98"/>
        <v>112801.94631570524</v>
      </c>
      <c r="U294" s="384">
        <f t="shared" si="98"/>
        <v>112801.94631570524</v>
      </c>
      <c r="V294" s="385">
        <f t="shared" si="98"/>
        <v>112801.94631570524</v>
      </c>
      <c r="W294" s="400">
        <v>1353623.3557884628</v>
      </c>
      <c r="X294" s="205">
        <f t="shared" si="84"/>
        <v>676811.6778942314</v>
      </c>
      <c r="Y294" s="251" t="s">
        <v>1965</v>
      </c>
      <c r="Z294" s="275"/>
      <c r="AA294" s="218"/>
      <c r="AB294">
        <v>1</v>
      </c>
      <c r="AF294">
        <v>12</v>
      </c>
    </row>
    <row r="295" spans="1:32" ht="15.75" hidden="1" customHeight="1" thickBot="1">
      <c r="A295" s="209">
        <v>299</v>
      </c>
      <c r="B295" s="379" t="s">
        <v>26</v>
      </c>
      <c r="C295" s="380" t="s">
        <v>1943</v>
      </c>
      <c r="D295" s="380" t="s">
        <v>1976</v>
      </c>
      <c r="E295" s="381" t="s">
        <v>21</v>
      </c>
      <c r="F295" s="383" t="s">
        <v>1975</v>
      </c>
      <c r="G295" s="382" t="s">
        <v>1970</v>
      </c>
      <c r="H295" s="380" t="s">
        <v>1964</v>
      </c>
      <c r="I295" s="381"/>
      <c r="J295" s="431" t="s">
        <v>14</v>
      </c>
      <c r="K295" s="384">
        <f t="shared" si="98"/>
        <v>820654.365797434</v>
      </c>
      <c r="L295" s="384">
        <f t="shared" si="98"/>
        <v>820654.365797434</v>
      </c>
      <c r="M295" s="384">
        <f t="shared" si="98"/>
        <v>820654.365797434</v>
      </c>
      <c r="N295" s="384">
        <f t="shared" si="98"/>
        <v>820654.365797434</v>
      </c>
      <c r="O295" s="384">
        <f t="shared" si="98"/>
        <v>820654.365797434</v>
      </c>
      <c r="P295" s="384">
        <f t="shared" si="98"/>
        <v>820654.365797434</v>
      </c>
      <c r="Q295" s="384">
        <f t="shared" si="98"/>
        <v>820654.365797434</v>
      </c>
      <c r="R295" s="384">
        <f t="shared" si="98"/>
        <v>820654.365797434</v>
      </c>
      <c r="S295" s="384">
        <f t="shared" si="98"/>
        <v>820654.365797434</v>
      </c>
      <c r="T295" s="384">
        <f t="shared" si="98"/>
        <v>820654.365797434</v>
      </c>
      <c r="U295" s="384">
        <f t="shared" si="98"/>
        <v>820654.365797434</v>
      </c>
      <c r="V295" s="385">
        <f t="shared" si="98"/>
        <v>820654.365797434</v>
      </c>
      <c r="W295" s="399">
        <f>W294+W293</f>
        <v>9847852.389569208</v>
      </c>
      <c r="X295" s="205">
        <f t="shared" si="84"/>
        <v>4923926.194784604</v>
      </c>
      <c r="Y295" s="251" t="s">
        <v>1965</v>
      </c>
      <c r="Z295" s="275"/>
      <c r="AA295" s="218"/>
      <c r="AB295">
        <v>1</v>
      </c>
      <c r="AF295">
        <v>12</v>
      </c>
    </row>
    <row r="296" spans="1:32" ht="15.75" hidden="1" customHeight="1" thickBot="1">
      <c r="A296" s="209">
        <v>300</v>
      </c>
      <c r="B296" s="379" t="s">
        <v>26</v>
      </c>
      <c r="C296" s="380" t="s">
        <v>1943</v>
      </c>
      <c r="D296" s="380" t="s">
        <v>1976</v>
      </c>
      <c r="E296" s="381" t="s">
        <v>21</v>
      </c>
      <c r="F296" s="383" t="s">
        <v>1975</v>
      </c>
      <c r="G296" s="382" t="s">
        <v>1970</v>
      </c>
      <c r="H296" s="380" t="s">
        <v>1964</v>
      </c>
      <c r="I296" s="381"/>
      <c r="J296" s="431" t="s">
        <v>25</v>
      </c>
      <c r="K296" s="384" t="e">
        <f>K292/K291</f>
        <v>#DIV/0!</v>
      </c>
      <c r="L296" s="384" t="e">
        <f t="shared" ref="L296:W296" si="99">L292/L291</f>
        <v>#DIV/0!</v>
      </c>
      <c r="M296" s="384" t="e">
        <f t="shared" si="99"/>
        <v>#DIV/0!</v>
      </c>
      <c r="N296" s="384" t="e">
        <f t="shared" si="99"/>
        <v>#DIV/0!</v>
      </c>
      <c r="O296" s="384" t="e">
        <f t="shared" si="99"/>
        <v>#DIV/0!</v>
      </c>
      <c r="P296" s="384" t="e">
        <f t="shared" si="99"/>
        <v>#DIV/0!</v>
      </c>
      <c r="Q296" s="384" t="e">
        <f t="shared" si="99"/>
        <v>#DIV/0!</v>
      </c>
      <c r="R296" s="384" t="e">
        <f t="shared" si="99"/>
        <v>#DIV/0!</v>
      </c>
      <c r="S296" s="384" t="e">
        <f t="shared" si="99"/>
        <v>#DIV/0!</v>
      </c>
      <c r="T296" s="384" t="e">
        <f t="shared" si="99"/>
        <v>#DIV/0!</v>
      </c>
      <c r="U296" s="384" t="e">
        <f t="shared" si="99"/>
        <v>#DIV/0!</v>
      </c>
      <c r="V296" s="385" t="e">
        <f t="shared" si="99"/>
        <v>#DIV/0!</v>
      </c>
      <c r="W296" s="399" t="e">
        <f t="shared" si="99"/>
        <v>#DIV/0!</v>
      </c>
      <c r="X296" s="324" t="e">
        <f t="shared" si="84"/>
        <v>#DIV/0!</v>
      </c>
      <c r="Y296" s="251" t="s">
        <v>1965</v>
      </c>
      <c r="Z296" s="275"/>
      <c r="AA296" s="218"/>
      <c r="AB296">
        <v>2</v>
      </c>
      <c r="AF296">
        <v>12</v>
      </c>
    </row>
    <row r="297" spans="1:32" ht="15.75" hidden="1" customHeight="1" thickBot="1">
      <c r="A297" s="193">
        <v>301</v>
      </c>
      <c r="B297" s="389" t="s">
        <v>26</v>
      </c>
      <c r="C297" s="390" t="s">
        <v>1943</v>
      </c>
      <c r="D297" s="390" t="s">
        <v>1976</v>
      </c>
      <c r="E297" s="391" t="s">
        <v>21</v>
      </c>
      <c r="F297" s="393" t="s">
        <v>1975</v>
      </c>
      <c r="G297" s="392" t="s">
        <v>1970</v>
      </c>
      <c r="H297" s="390" t="s">
        <v>1964</v>
      </c>
      <c r="I297" s="391"/>
      <c r="J297" s="432" t="s">
        <v>16</v>
      </c>
      <c r="K297" s="409">
        <f>K295/K292</f>
        <v>101.32890602209356</v>
      </c>
      <c r="L297" s="409">
        <f t="shared" ref="L297:W297" si="100">L295/L292</f>
        <v>101.32890602209356</v>
      </c>
      <c r="M297" s="409">
        <f t="shared" si="100"/>
        <v>101.32890602209356</v>
      </c>
      <c r="N297" s="409">
        <f t="shared" si="100"/>
        <v>101.32890602209356</v>
      </c>
      <c r="O297" s="409">
        <f t="shared" si="100"/>
        <v>101.32890602209356</v>
      </c>
      <c r="P297" s="409">
        <f t="shared" si="100"/>
        <v>101.32890602209356</v>
      </c>
      <c r="Q297" s="409">
        <f t="shared" si="100"/>
        <v>101.32890602209356</v>
      </c>
      <c r="R297" s="409">
        <f t="shared" si="100"/>
        <v>101.32890602209356</v>
      </c>
      <c r="S297" s="409">
        <f t="shared" si="100"/>
        <v>101.32890602209356</v>
      </c>
      <c r="T297" s="409">
        <f t="shared" si="100"/>
        <v>101.32890602209356</v>
      </c>
      <c r="U297" s="409">
        <f t="shared" si="100"/>
        <v>101.32890602209356</v>
      </c>
      <c r="V297" s="410">
        <f t="shared" si="100"/>
        <v>101.32890602209356</v>
      </c>
      <c r="W297" s="411">
        <f t="shared" si="100"/>
        <v>101.32890602209358</v>
      </c>
      <c r="X297" s="412">
        <f t="shared" si="84"/>
        <v>607.97343613256135</v>
      </c>
      <c r="Y297" s="251" t="s">
        <v>1965</v>
      </c>
      <c r="Z297" s="279"/>
      <c r="AA297" s="235"/>
      <c r="AB297">
        <v>2</v>
      </c>
      <c r="AF297">
        <v>12</v>
      </c>
    </row>
    <row r="298" spans="1:32" ht="15.75" hidden="1" customHeight="1" thickBot="1">
      <c r="A298" s="209">
        <v>302</v>
      </c>
      <c r="B298" s="371" t="s">
        <v>26</v>
      </c>
      <c r="C298" s="372" t="s">
        <v>1955</v>
      </c>
      <c r="D298" s="372"/>
      <c r="E298" s="373" t="s">
        <v>21</v>
      </c>
      <c r="F298" s="403" t="s">
        <v>1977</v>
      </c>
      <c r="G298" s="424" t="s">
        <v>1970</v>
      </c>
      <c r="H298" s="403" t="s">
        <v>1964</v>
      </c>
      <c r="I298" s="404"/>
      <c r="J298" s="433" t="s">
        <v>22</v>
      </c>
      <c r="K298" s="406">
        <f t="shared" ref="K298:V302" si="101">$W298/$AF298</f>
        <v>0</v>
      </c>
      <c r="L298" s="406">
        <f t="shared" si="101"/>
        <v>0</v>
      </c>
      <c r="M298" s="406">
        <f t="shared" si="101"/>
        <v>0</v>
      </c>
      <c r="N298" s="406">
        <f t="shared" si="101"/>
        <v>0</v>
      </c>
      <c r="O298" s="406">
        <f t="shared" si="101"/>
        <v>0</v>
      </c>
      <c r="P298" s="406">
        <f t="shared" si="101"/>
        <v>0</v>
      </c>
      <c r="Q298" s="406">
        <f t="shared" si="101"/>
        <v>0</v>
      </c>
      <c r="R298" s="406">
        <f t="shared" si="101"/>
        <v>0</v>
      </c>
      <c r="S298" s="406">
        <f t="shared" si="101"/>
        <v>0</v>
      </c>
      <c r="T298" s="406">
        <f t="shared" si="101"/>
        <v>0</v>
      </c>
      <c r="U298" s="406">
        <f t="shared" si="101"/>
        <v>0</v>
      </c>
      <c r="V298" s="407">
        <f t="shared" si="101"/>
        <v>0</v>
      </c>
      <c r="W298" s="429"/>
      <c r="X298" s="205">
        <f t="shared" si="84"/>
        <v>0</v>
      </c>
      <c r="Y298" s="251" t="s">
        <v>1965</v>
      </c>
      <c r="Z298" s="286"/>
      <c r="AA298" s="244"/>
      <c r="AB298">
        <v>1</v>
      </c>
      <c r="AF298">
        <v>12</v>
      </c>
    </row>
    <row r="299" spans="1:32" ht="15.75" hidden="1" customHeight="1" thickBot="1">
      <c r="A299" s="209">
        <v>303</v>
      </c>
      <c r="B299" s="379" t="s">
        <v>26</v>
      </c>
      <c r="C299" s="380" t="s">
        <v>1955</v>
      </c>
      <c r="D299" s="380"/>
      <c r="E299" s="381" t="s">
        <v>21</v>
      </c>
      <c r="F299" s="380" t="s">
        <v>1977</v>
      </c>
      <c r="G299" s="382" t="s">
        <v>1970</v>
      </c>
      <c r="H299" s="380" t="s">
        <v>1964</v>
      </c>
      <c r="I299" s="381"/>
      <c r="J299" s="431" t="s">
        <v>10</v>
      </c>
      <c r="K299" s="384">
        <f t="shared" si="101"/>
        <v>18820.367095833335</v>
      </c>
      <c r="L299" s="384">
        <f t="shared" si="101"/>
        <v>18820.367095833335</v>
      </c>
      <c r="M299" s="384">
        <f t="shared" si="101"/>
        <v>18820.367095833335</v>
      </c>
      <c r="N299" s="384">
        <f t="shared" si="101"/>
        <v>18820.367095833335</v>
      </c>
      <c r="O299" s="384">
        <f t="shared" si="101"/>
        <v>18820.367095833335</v>
      </c>
      <c r="P299" s="384">
        <f t="shared" si="101"/>
        <v>18820.367095833335</v>
      </c>
      <c r="Q299" s="384">
        <f t="shared" si="101"/>
        <v>18820.367095833335</v>
      </c>
      <c r="R299" s="384">
        <f t="shared" si="101"/>
        <v>18820.367095833335</v>
      </c>
      <c r="S299" s="384">
        <f t="shared" si="101"/>
        <v>18820.367095833335</v>
      </c>
      <c r="T299" s="384">
        <f t="shared" si="101"/>
        <v>18820.367095833335</v>
      </c>
      <c r="U299" s="384">
        <f t="shared" si="101"/>
        <v>18820.367095833335</v>
      </c>
      <c r="V299" s="385">
        <f t="shared" si="101"/>
        <v>18820.367095833335</v>
      </c>
      <c r="W299" s="400">
        <v>225844.40515000004</v>
      </c>
      <c r="X299" s="205">
        <f t="shared" si="84"/>
        <v>112922.20257500002</v>
      </c>
      <c r="Y299" s="251" t="s">
        <v>1965</v>
      </c>
      <c r="Z299" s="275"/>
      <c r="AA299" s="218"/>
      <c r="AB299">
        <v>1</v>
      </c>
      <c r="AF299">
        <v>12</v>
      </c>
    </row>
    <row r="300" spans="1:32" ht="15.75" hidden="1" customHeight="1" thickBot="1">
      <c r="A300" s="209">
        <v>304</v>
      </c>
      <c r="B300" s="379" t="s">
        <v>26</v>
      </c>
      <c r="C300" s="380" t="s">
        <v>1955</v>
      </c>
      <c r="D300" s="380"/>
      <c r="E300" s="381" t="s">
        <v>21</v>
      </c>
      <c r="F300" s="380" t="s">
        <v>1977</v>
      </c>
      <c r="G300" s="382" t="s">
        <v>1970</v>
      </c>
      <c r="H300" s="380" t="s">
        <v>1964</v>
      </c>
      <c r="I300" s="381"/>
      <c r="J300" s="431" t="s">
        <v>23</v>
      </c>
      <c r="K300" s="384">
        <f t="shared" si="101"/>
        <v>802256.74955792807</v>
      </c>
      <c r="L300" s="384">
        <f t="shared" si="101"/>
        <v>802256.74955792807</v>
      </c>
      <c r="M300" s="384">
        <f t="shared" si="101"/>
        <v>802256.74955792807</v>
      </c>
      <c r="N300" s="384">
        <f t="shared" si="101"/>
        <v>802256.74955792807</v>
      </c>
      <c r="O300" s="384">
        <f t="shared" si="101"/>
        <v>802256.74955792807</v>
      </c>
      <c r="P300" s="384">
        <f t="shared" si="101"/>
        <v>802256.74955792807</v>
      </c>
      <c r="Q300" s="384">
        <f t="shared" si="101"/>
        <v>802256.74955792807</v>
      </c>
      <c r="R300" s="384">
        <f t="shared" si="101"/>
        <v>802256.74955792807</v>
      </c>
      <c r="S300" s="384">
        <f t="shared" si="101"/>
        <v>802256.74955792807</v>
      </c>
      <c r="T300" s="384">
        <f t="shared" si="101"/>
        <v>802256.74955792807</v>
      </c>
      <c r="U300" s="384">
        <f t="shared" si="101"/>
        <v>802256.74955792807</v>
      </c>
      <c r="V300" s="385">
        <f t="shared" si="101"/>
        <v>802256.74955792807</v>
      </c>
      <c r="W300" s="400">
        <v>9627080.9946951363</v>
      </c>
      <c r="X300" s="205">
        <f t="shared" si="84"/>
        <v>4813540.4973475682</v>
      </c>
      <c r="Y300" s="251" t="s">
        <v>1965</v>
      </c>
      <c r="Z300" s="275"/>
      <c r="AA300" s="218"/>
      <c r="AB300">
        <v>1</v>
      </c>
      <c r="AF300">
        <v>12</v>
      </c>
    </row>
    <row r="301" spans="1:32" ht="15.75" hidden="1" customHeight="1" thickBot="1">
      <c r="A301" s="193">
        <v>305</v>
      </c>
      <c r="B301" s="379" t="s">
        <v>26</v>
      </c>
      <c r="C301" s="380" t="s">
        <v>1955</v>
      </c>
      <c r="D301" s="380"/>
      <c r="E301" s="381" t="s">
        <v>21</v>
      </c>
      <c r="F301" s="380" t="s">
        <v>1977</v>
      </c>
      <c r="G301" s="382" t="s">
        <v>1970</v>
      </c>
      <c r="H301" s="380" t="s">
        <v>1964</v>
      </c>
      <c r="I301" s="381"/>
      <c r="J301" s="431" t="s">
        <v>24</v>
      </c>
      <c r="K301" s="384">
        <f t="shared" si="101"/>
        <v>127846.03160826163</v>
      </c>
      <c r="L301" s="384">
        <f t="shared" si="101"/>
        <v>127846.03160826163</v>
      </c>
      <c r="M301" s="384">
        <f t="shared" si="101"/>
        <v>127846.03160826163</v>
      </c>
      <c r="N301" s="384">
        <f t="shared" si="101"/>
        <v>127846.03160826163</v>
      </c>
      <c r="O301" s="384">
        <f t="shared" si="101"/>
        <v>127846.03160826163</v>
      </c>
      <c r="P301" s="384">
        <f t="shared" si="101"/>
        <v>127846.03160826163</v>
      </c>
      <c r="Q301" s="384">
        <f t="shared" si="101"/>
        <v>127846.03160826163</v>
      </c>
      <c r="R301" s="384">
        <f t="shared" si="101"/>
        <v>127846.03160826163</v>
      </c>
      <c r="S301" s="384">
        <f t="shared" si="101"/>
        <v>127846.03160826163</v>
      </c>
      <c r="T301" s="384">
        <f t="shared" si="101"/>
        <v>127846.03160826163</v>
      </c>
      <c r="U301" s="384">
        <f t="shared" si="101"/>
        <v>127846.03160826163</v>
      </c>
      <c r="V301" s="385">
        <f t="shared" si="101"/>
        <v>127846.03160826163</v>
      </c>
      <c r="W301" s="400">
        <v>1534152.3792991396</v>
      </c>
      <c r="X301" s="205">
        <f t="shared" si="84"/>
        <v>767076.1896495698</v>
      </c>
      <c r="Y301" s="251" t="s">
        <v>1965</v>
      </c>
      <c r="Z301" s="275"/>
      <c r="AA301" s="218"/>
      <c r="AB301">
        <v>1</v>
      </c>
      <c r="AF301">
        <v>12</v>
      </c>
    </row>
    <row r="302" spans="1:32" ht="15.75" hidden="1" customHeight="1" thickBot="1">
      <c r="A302" s="209">
        <v>306</v>
      </c>
      <c r="B302" s="379" t="s">
        <v>26</v>
      </c>
      <c r="C302" s="380" t="s">
        <v>1955</v>
      </c>
      <c r="D302" s="380"/>
      <c r="E302" s="381" t="s">
        <v>21</v>
      </c>
      <c r="F302" s="380" t="s">
        <v>1977</v>
      </c>
      <c r="G302" s="382" t="s">
        <v>1970</v>
      </c>
      <c r="H302" s="380" t="s">
        <v>1964</v>
      </c>
      <c r="I302" s="381"/>
      <c r="J302" s="431" t="s">
        <v>14</v>
      </c>
      <c r="K302" s="384">
        <f t="shared" si="101"/>
        <v>930102.7811661897</v>
      </c>
      <c r="L302" s="384">
        <f t="shared" si="101"/>
        <v>930102.7811661897</v>
      </c>
      <c r="M302" s="384">
        <f t="shared" si="101"/>
        <v>930102.7811661897</v>
      </c>
      <c r="N302" s="384">
        <f t="shared" si="101"/>
        <v>930102.7811661897</v>
      </c>
      <c r="O302" s="384">
        <f t="shared" si="101"/>
        <v>930102.7811661897</v>
      </c>
      <c r="P302" s="384">
        <f t="shared" si="101"/>
        <v>930102.7811661897</v>
      </c>
      <c r="Q302" s="384">
        <f t="shared" si="101"/>
        <v>930102.7811661897</v>
      </c>
      <c r="R302" s="384">
        <f t="shared" si="101"/>
        <v>930102.7811661897</v>
      </c>
      <c r="S302" s="384">
        <f t="shared" si="101"/>
        <v>930102.7811661897</v>
      </c>
      <c r="T302" s="384">
        <f t="shared" si="101"/>
        <v>930102.7811661897</v>
      </c>
      <c r="U302" s="384">
        <f t="shared" si="101"/>
        <v>930102.7811661897</v>
      </c>
      <c r="V302" s="385">
        <f t="shared" si="101"/>
        <v>930102.7811661897</v>
      </c>
      <c r="W302" s="399">
        <f>W301+W300</f>
        <v>11161233.373994276</v>
      </c>
      <c r="X302" s="205">
        <f t="shared" si="84"/>
        <v>5580616.686997138</v>
      </c>
      <c r="Y302" s="251" t="s">
        <v>1965</v>
      </c>
      <c r="Z302" s="275"/>
      <c r="AA302" s="218"/>
      <c r="AB302">
        <v>1</v>
      </c>
      <c r="AF302">
        <v>12</v>
      </c>
    </row>
    <row r="303" spans="1:32" ht="15.75" hidden="1" customHeight="1" thickBot="1">
      <c r="A303" s="209">
        <v>307</v>
      </c>
      <c r="B303" s="379" t="s">
        <v>26</v>
      </c>
      <c r="C303" s="380" t="s">
        <v>1955</v>
      </c>
      <c r="D303" s="380"/>
      <c r="E303" s="381" t="s">
        <v>21</v>
      </c>
      <c r="F303" s="380" t="s">
        <v>1977</v>
      </c>
      <c r="G303" s="382" t="s">
        <v>1970</v>
      </c>
      <c r="H303" s="380" t="s">
        <v>1964</v>
      </c>
      <c r="I303" s="381"/>
      <c r="J303" s="431" t="s">
        <v>25</v>
      </c>
      <c r="K303" s="384" t="e">
        <f>K299/K298</f>
        <v>#DIV/0!</v>
      </c>
      <c r="L303" s="384" t="e">
        <f t="shared" ref="L303:W303" si="102">L299/L298</f>
        <v>#DIV/0!</v>
      </c>
      <c r="M303" s="384" t="e">
        <f t="shared" si="102"/>
        <v>#DIV/0!</v>
      </c>
      <c r="N303" s="384" t="e">
        <f t="shared" si="102"/>
        <v>#DIV/0!</v>
      </c>
      <c r="O303" s="384" t="e">
        <f t="shared" si="102"/>
        <v>#DIV/0!</v>
      </c>
      <c r="P303" s="384" t="e">
        <f t="shared" si="102"/>
        <v>#DIV/0!</v>
      </c>
      <c r="Q303" s="384" t="e">
        <f t="shared" si="102"/>
        <v>#DIV/0!</v>
      </c>
      <c r="R303" s="384" t="e">
        <f t="shared" si="102"/>
        <v>#DIV/0!</v>
      </c>
      <c r="S303" s="384" t="e">
        <f t="shared" si="102"/>
        <v>#DIV/0!</v>
      </c>
      <c r="T303" s="384" t="e">
        <f t="shared" si="102"/>
        <v>#DIV/0!</v>
      </c>
      <c r="U303" s="384" t="e">
        <f t="shared" si="102"/>
        <v>#DIV/0!</v>
      </c>
      <c r="V303" s="385" t="e">
        <f t="shared" si="102"/>
        <v>#DIV/0!</v>
      </c>
      <c r="W303" s="399" t="e">
        <f t="shared" si="102"/>
        <v>#DIV/0!</v>
      </c>
      <c r="X303" s="324" t="e">
        <f t="shared" si="84"/>
        <v>#DIV/0!</v>
      </c>
      <c r="Y303" s="251" t="s">
        <v>1965</v>
      </c>
      <c r="Z303" s="275"/>
      <c r="AA303" s="218"/>
      <c r="AB303">
        <v>2</v>
      </c>
      <c r="AF303">
        <v>12</v>
      </c>
    </row>
    <row r="304" spans="1:32" ht="15.75" hidden="1" customHeight="1" thickBot="1">
      <c r="A304" s="209">
        <v>308</v>
      </c>
      <c r="B304" s="389" t="s">
        <v>26</v>
      </c>
      <c r="C304" s="390" t="s">
        <v>1955</v>
      </c>
      <c r="D304" s="390"/>
      <c r="E304" s="391" t="s">
        <v>21</v>
      </c>
      <c r="F304" s="390" t="s">
        <v>1977</v>
      </c>
      <c r="G304" s="392" t="s">
        <v>1970</v>
      </c>
      <c r="H304" s="390" t="s">
        <v>1964</v>
      </c>
      <c r="I304" s="391"/>
      <c r="J304" s="431" t="s">
        <v>16</v>
      </c>
      <c r="K304" s="384">
        <f>K302/K299</f>
        <v>49.420012714422896</v>
      </c>
      <c r="L304" s="409">
        <f t="shared" ref="L304:W304" si="103">L302/L299</f>
        <v>49.420012714422896</v>
      </c>
      <c r="M304" s="409">
        <f t="shared" si="103"/>
        <v>49.420012714422896</v>
      </c>
      <c r="N304" s="409">
        <f t="shared" si="103"/>
        <v>49.420012714422896</v>
      </c>
      <c r="O304" s="409">
        <f t="shared" si="103"/>
        <v>49.420012714422896</v>
      </c>
      <c r="P304" s="409">
        <f t="shared" si="103"/>
        <v>49.420012714422896</v>
      </c>
      <c r="Q304" s="409">
        <f t="shared" si="103"/>
        <v>49.420012714422896</v>
      </c>
      <c r="R304" s="409">
        <f t="shared" si="103"/>
        <v>49.420012714422896</v>
      </c>
      <c r="S304" s="409">
        <f t="shared" si="103"/>
        <v>49.420012714422896</v>
      </c>
      <c r="T304" s="409">
        <f t="shared" si="103"/>
        <v>49.420012714422896</v>
      </c>
      <c r="U304" s="409">
        <f t="shared" si="103"/>
        <v>49.420012714422896</v>
      </c>
      <c r="V304" s="410">
        <f t="shared" si="103"/>
        <v>49.420012714422896</v>
      </c>
      <c r="W304" s="411">
        <f t="shared" si="103"/>
        <v>49.420012714422889</v>
      </c>
      <c r="X304" s="412">
        <f t="shared" si="84"/>
        <v>296.5200762865374</v>
      </c>
      <c r="Y304" s="251" t="s">
        <v>1965</v>
      </c>
      <c r="Z304" s="279"/>
      <c r="AA304" s="235"/>
      <c r="AB304">
        <v>2</v>
      </c>
      <c r="AF304">
        <v>12</v>
      </c>
    </row>
    <row r="305" spans="1:32" ht="15.75" hidden="1" customHeight="1" thickBot="1">
      <c r="A305" s="193">
        <v>309</v>
      </c>
      <c r="B305" s="371" t="s">
        <v>26</v>
      </c>
      <c r="C305" s="372" t="s">
        <v>1948</v>
      </c>
      <c r="D305" s="372" t="s">
        <v>1978</v>
      </c>
      <c r="E305" s="373" t="s">
        <v>21</v>
      </c>
      <c r="F305" s="372" t="s">
        <v>1979</v>
      </c>
      <c r="G305" s="374" t="s">
        <v>1970</v>
      </c>
      <c r="H305" s="372" t="s">
        <v>1964</v>
      </c>
      <c r="I305" s="373"/>
      <c r="J305" s="431" t="s">
        <v>22</v>
      </c>
      <c r="K305" s="376">
        <f t="shared" ref="K305:V309" si="104">$W305/$AF305</f>
        <v>0</v>
      </c>
      <c r="L305" s="376">
        <f t="shared" si="104"/>
        <v>0</v>
      </c>
      <c r="M305" s="376">
        <f t="shared" si="104"/>
        <v>0</v>
      </c>
      <c r="N305" s="376">
        <f t="shared" si="104"/>
        <v>0</v>
      </c>
      <c r="O305" s="376">
        <f t="shared" si="104"/>
        <v>0</v>
      </c>
      <c r="P305" s="376">
        <f t="shared" si="104"/>
        <v>0</v>
      </c>
      <c r="Q305" s="376">
        <f t="shared" si="104"/>
        <v>0</v>
      </c>
      <c r="R305" s="376">
        <f t="shared" si="104"/>
        <v>0</v>
      </c>
      <c r="S305" s="376">
        <f t="shared" si="104"/>
        <v>0</v>
      </c>
      <c r="T305" s="376">
        <f t="shared" si="104"/>
        <v>0</v>
      </c>
      <c r="U305" s="376">
        <f t="shared" si="104"/>
        <v>0</v>
      </c>
      <c r="V305" s="377">
        <f t="shared" si="104"/>
        <v>0</v>
      </c>
      <c r="W305" s="429"/>
      <c r="X305" s="205">
        <f t="shared" si="84"/>
        <v>0</v>
      </c>
      <c r="Y305" s="251" t="s">
        <v>1965</v>
      </c>
      <c r="Z305" s="286"/>
      <c r="AA305" s="244"/>
      <c r="AB305">
        <v>1</v>
      </c>
      <c r="AF305">
        <v>12</v>
      </c>
    </row>
    <row r="306" spans="1:32" ht="15.75" hidden="1" customHeight="1" thickBot="1">
      <c r="A306" s="209">
        <v>310</v>
      </c>
      <c r="B306" s="379" t="s">
        <v>26</v>
      </c>
      <c r="C306" s="380" t="s">
        <v>1948</v>
      </c>
      <c r="D306" s="380" t="s">
        <v>1978</v>
      </c>
      <c r="E306" s="381" t="s">
        <v>21</v>
      </c>
      <c r="F306" s="380" t="s">
        <v>1979</v>
      </c>
      <c r="G306" s="382" t="s">
        <v>1970</v>
      </c>
      <c r="H306" s="380" t="s">
        <v>1964</v>
      </c>
      <c r="I306" s="381"/>
      <c r="J306" s="431" t="s">
        <v>10</v>
      </c>
      <c r="K306" s="384">
        <f t="shared" si="104"/>
        <v>481</v>
      </c>
      <c r="L306" s="384">
        <f t="shared" si="104"/>
        <v>481</v>
      </c>
      <c r="M306" s="384">
        <f t="shared" si="104"/>
        <v>481</v>
      </c>
      <c r="N306" s="384">
        <f t="shared" si="104"/>
        <v>481</v>
      </c>
      <c r="O306" s="384">
        <f t="shared" si="104"/>
        <v>481</v>
      </c>
      <c r="P306" s="384">
        <f t="shared" si="104"/>
        <v>481</v>
      </c>
      <c r="Q306" s="384">
        <f t="shared" si="104"/>
        <v>481</v>
      </c>
      <c r="R306" s="384">
        <f t="shared" si="104"/>
        <v>481</v>
      </c>
      <c r="S306" s="384">
        <f t="shared" si="104"/>
        <v>481</v>
      </c>
      <c r="T306" s="384">
        <f t="shared" si="104"/>
        <v>481</v>
      </c>
      <c r="U306" s="384">
        <f t="shared" si="104"/>
        <v>481</v>
      </c>
      <c r="V306" s="385">
        <f t="shared" si="104"/>
        <v>481</v>
      </c>
      <c r="W306" s="400">
        <v>5772</v>
      </c>
      <c r="X306" s="205">
        <f t="shared" si="84"/>
        <v>2886</v>
      </c>
      <c r="Y306" s="251" t="s">
        <v>1965</v>
      </c>
      <c r="Z306" s="275"/>
      <c r="AA306" s="218"/>
      <c r="AB306">
        <v>1</v>
      </c>
      <c r="AF306">
        <v>12</v>
      </c>
    </row>
    <row r="307" spans="1:32" ht="15.75" hidden="1" customHeight="1" thickBot="1">
      <c r="A307" s="209">
        <v>311</v>
      </c>
      <c r="B307" s="379" t="s">
        <v>26</v>
      </c>
      <c r="C307" s="380" t="s">
        <v>1948</v>
      </c>
      <c r="D307" s="380" t="s">
        <v>1978</v>
      </c>
      <c r="E307" s="381" t="s">
        <v>21</v>
      </c>
      <c r="F307" s="380" t="s">
        <v>1979</v>
      </c>
      <c r="G307" s="382" t="s">
        <v>1970</v>
      </c>
      <c r="H307" s="380" t="s">
        <v>1964</v>
      </c>
      <c r="I307" s="381"/>
      <c r="J307" s="431" t="s">
        <v>23</v>
      </c>
      <c r="K307" s="384">
        <f t="shared" si="104"/>
        <v>27480.683952390114</v>
      </c>
      <c r="L307" s="384">
        <f t="shared" si="104"/>
        <v>27480.683952390114</v>
      </c>
      <c r="M307" s="384">
        <f t="shared" si="104"/>
        <v>27480.683952390114</v>
      </c>
      <c r="N307" s="384">
        <f t="shared" si="104"/>
        <v>27480.683952390114</v>
      </c>
      <c r="O307" s="384">
        <f t="shared" si="104"/>
        <v>27480.683952390114</v>
      </c>
      <c r="P307" s="384">
        <f t="shared" si="104"/>
        <v>27480.683952390114</v>
      </c>
      <c r="Q307" s="384">
        <f t="shared" si="104"/>
        <v>27480.683952390114</v>
      </c>
      <c r="R307" s="384">
        <f t="shared" si="104"/>
        <v>27480.683952390114</v>
      </c>
      <c r="S307" s="384">
        <f t="shared" si="104"/>
        <v>27480.683952390114</v>
      </c>
      <c r="T307" s="384">
        <f t="shared" si="104"/>
        <v>27480.683952390114</v>
      </c>
      <c r="U307" s="384">
        <f t="shared" si="104"/>
        <v>27480.683952390114</v>
      </c>
      <c r="V307" s="385">
        <f t="shared" si="104"/>
        <v>27480.683952390114</v>
      </c>
      <c r="W307" s="400">
        <v>329768.20742868137</v>
      </c>
      <c r="X307" s="205">
        <f t="shared" si="84"/>
        <v>164884.10371434066</v>
      </c>
      <c r="Y307" s="251" t="s">
        <v>1965</v>
      </c>
      <c r="Z307" s="275"/>
      <c r="AA307" s="218"/>
      <c r="AB307">
        <v>1</v>
      </c>
      <c r="AF307">
        <v>12</v>
      </c>
    </row>
    <row r="308" spans="1:32" ht="15.75" hidden="1" customHeight="1" thickBot="1">
      <c r="A308" s="209">
        <v>312</v>
      </c>
      <c r="B308" s="379" t="s">
        <v>26</v>
      </c>
      <c r="C308" s="380" t="s">
        <v>1948</v>
      </c>
      <c r="D308" s="380" t="s">
        <v>1978</v>
      </c>
      <c r="E308" s="381" t="s">
        <v>21</v>
      </c>
      <c r="F308" s="380" t="s">
        <v>1979</v>
      </c>
      <c r="G308" s="382" t="s">
        <v>1970</v>
      </c>
      <c r="H308" s="380" t="s">
        <v>1964</v>
      </c>
      <c r="I308" s="381"/>
      <c r="J308" s="431" t="s">
        <v>24</v>
      </c>
      <c r="K308" s="384">
        <f t="shared" si="104"/>
        <v>4379.2668508303186</v>
      </c>
      <c r="L308" s="384">
        <f t="shared" si="104"/>
        <v>4379.2668508303186</v>
      </c>
      <c r="M308" s="384">
        <f t="shared" si="104"/>
        <v>4379.2668508303186</v>
      </c>
      <c r="N308" s="384">
        <f t="shared" si="104"/>
        <v>4379.2668508303186</v>
      </c>
      <c r="O308" s="384">
        <f t="shared" si="104"/>
        <v>4379.2668508303186</v>
      </c>
      <c r="P308" s="384">
        <f t="shared" si="104"/>
        <v>4379.2668508303186</v>
      </c>
      <c r="Q308" s="384">
        <f t="shared" si="104"/>
        <v>4379.2668508303186</v>
      </c>
      <c r="R308" s="384">
        <f t="shared" si="104"/>
        <v>4379.2668508303186</v>
      </c>
      <c r="S308" s="384">
        <f t="shared" si="104"/>
        <v>4379.2668508303186</v>
      </c>
      <c r="T308" s="384">
        <f t="shared" si="104"/>
        <v>4379.2668508303186</v>
      </c>
      <c r="U308" s="384">
        <f t="shared" si="104"/>
        <v>4379.2668508303186</v>
      </c>
      <c r="V308" s="385">
        <f t="shared" si="104"/>
        <v>4379.2668508303186</v>
      </c>
      <c r="W308" s="400">
        <v>52551.202209963827</v>
      </c>
      <c r="X308" s="205">
        <f t="shared" si="84"/>
        <v>26275.60110498191</v>
      </c>
      <c r="Y308" s="251" t="s">
        <v>1965</v>
      </c>
      <c r="Z308" s="275"/>
      <c r="AA308" s="218"/>
      <c r="AB308">
        <v>1</v>
      </c>
      <c r="AF308">
        <v>12</v>
      </c>
    </row>
    <row r="309" spans="1:32" ht="15.75" hidden="1" customHeight="1" thickBot="1">
      <c r="A309" s="193">
        <v>313</v>
      </c>
      <c r="B309" s="379" t="s">
        <v>26</v>
      </c>
      <c r="C309" s="380" t="s">
        <v>1948</v>
      </c>
      <c r="D309" s="380" t="s">
        <v>1978</v>
      </c>
      <c r="E309" s="381" t="s">
        <v>21</v>
      </c>
      <c r="F309" s="380" t="s">
        <v>1979</v>
      </c>
      <c r="G309" s="382" t="s">
        <v>1970</v>
      </c>
      <c r="H309" s="380" t="s">
        <v>1964</v>
      </c>
      <c r="I309" s="381"/>
      <c r="J309" s="431" t="s">
        <v>14</v>
      </c>
      <c r="K309" s="384">
        <f t="shared" si="104"/>
        <v>31859.950803220432</v>
      </c>
      <c r="L309" s="384">
        <f t="shared" si="104"/>
        <v>31859.950803220432</v>
      </c>
      <c r="M309" s="384">
        <f t="shared" si="104"/>
        <v>31859.950803220432</v>
      </c>
      <c r="N309" s="384">
        <f t="shared" si="104"/>
        <v>31859.950803220432</v>
      </c>
      <c r="O309" s="384">
        <f t="shared" si="104"/>
        <v>31859.950803220432</v>
      </c>
      <c r="P309" s="384">
        <f t="shared" si="104"/>
        <v>31859.950803220432</v>
      </c>
      <c r="Q309" s="384">
        <f t="shared" si="104"/>
        <v>31859.950803220432</v>
      </c>
      <c r="R309" s="384">
        <f t="shared" si="104"/>
        <v>31859.950803220432</v>
      </c>
      <c r="S309" s="384">
        <f t="shared" si="104"/>
        <v>31859.950803220432</v>
      </c>
      <c r="T309" s="384">
        <f t="shared" si="104"/>
        <v>31859.950803220432</v>
      </c>
      <c r="U309" s="384">
        <f t="shared" si="104"/>
        <v>31859.950803220432</v>
      </c>
      <c r="V309" s="385">
        <f t="shared" si="104"/>
        <v>31859.950803220432</v>
      </c>
      <c r="W309" s="399">
        <f>W308+W307</f>
        <v>382319.40963864519</v>
      </c>
      <c r="X309" s="205">
        <f t="shared" si="84"/>
        <v>191159.70481932262</v>
      </c>
      <c r="Y309" s="251" t="s">
        <v>1965</v>
      </c>
      <c r="Z309" s="275"/>
      <c r="AA309" s="218"/>
      <c r="AB309">
        <v>1</v>
      </c>
      <c r="AF309">
        <v>12</v>
      </c>
    </row>
    <row r="310" spans="1:32" ht="15.75" hidden="1" customHeight="1" thickBot="1">
      <c r="A310" s="209">
        <v>314</v>
      </c>
      <c r="B310" s="379" t="s">
        <v>26</v>
      </c>
      <c r="C310" s="380" t="s">
        <v>1948</v>
      </c>
      <c r="D310" s="380" t="s">
        <v>1978</v>
      </c>
      <c r="E310" s="381" t="s">
        <v>21</v>
      </c>
      <c r="F310" s="380" t="s">
        <v>1979</v>
      </c>
      <c r="G310" s="382" t="s">
        <v>1970</v>
      </c>
      <c r="H310" s="380" t="s">
        <v>1964</v>
      </c>
      <c r="I310" s="381"/>
      <c r="J310" s="431" t="s">
        <v>25</v>
      </c>
      <c r="K310" s="384" t="e">
        <f>K306/K305</f>
        <v>#DIV/0!</v>
      </c>
      <c r="L310" s="384" t="e">
        <f t="shared" ref="L310:W310" si="105">L306/L305</f>
        <v>#DIV/0!</v>
      </c>
      <c r="M310" s="384" t="e">
        <f t="shared" si="105"/>
        <v>#DIV/0!</v>
      </c>
      <c r="N310" s="384" t="e">
        <f t="shared" si="105"/>
        <v>#DIV/0!</v>
      </c>
      <c r="O310" s="384" t="e">
        <f t="shared" si="105"/>
        <v>#DIV/0!</v>
      </c>
      <c r="P310" s="384" t="e">
        <f t="shared" si="105"/>
        <v>#DIV/0!</v>
      </c>
      <c r="Q310" s="384" t="e">
        <f t="shared" si="105"/>
        <v>#DIV/0!</v>
      </c>
      <c r="R310" s="384" t="e">
        <f t="shared" si="105"/>
        <v>#DIV/0!</v>
      </c>
      <c r="S310" s="384" t="e">
        <f t="shared" si="105"/>
        <v>#DIV/0!</v>
      </c>
      <c r="T310" s="384" t="e">
        <f t="shared" si="105"/>
        <v>#DIV/0!</v>
      </c>
      <c r="U310" s="384" t="e">
        <f t="shared" si="105"/>
        <v>#DIV/0!</v>
      </c>
      <c r="V310" s="385" t="e">
        <f t="shared" si="105"/>
        <v>#DIV/0!</v>
      </c>
      <c r="W310" s="399" t="e">
        <f t="shared" si="105"/>
        <v>#DIV/0!</v>
      </c>
      <c r="X310" s="324" t="e">
        <f t="shared" si="84"/>
        <v>#DIV/0!</v>
      </c>
      <c r="Y310" s="251" t="s">
        <v>1965</v>
      </c>
      <c r="Z310" s="275"/>
      <c r="AA310" s="218"/>
      <c r="AB310">
        <v>2</v>
      </c>
      <c r="AF310">
        <v>12</v>
      </c>
    </row>
    <row r="311" spans="1:32" ht="15.75" hidden="1" customHeight="1" thickBot="1">
      <c r="A311" s="209">
        <v>315</v>
      </c>
      <c r="B311" s="389" t="s">
        <v>26</v>
      </c>
      <c r="C311" s="390" t="s">
        <v>1948</v>
      </c>
      <c r="D311" s="390" t="s">
        <v>1978</v>
      </c>
      <c r="E311" s="391" t="s">
        <v>21</v>
      </c>
      <c r="F311" s="390" t="s">
        <v>1979</v>
      </c>
      <c r="G311" s="392" t="s">
        <v>1970</v>
      </c>
      <c r="H311" s="390" t="s">
        <v>1964</v>
      </c>
      <c r="I311" s="391"/>
      <c r="J311" s="431" t="s">
        <v>16</v>
      </c>
      <c r="K311" s="384">
        <f>K309/K306</f>
        <v>66.236903956799239</v>
      </c>
      <c r="L311" s="384">
        <f t="shared" ref="L311:W311" si="106">L309/L306</f>
        <v>66.236903956799239</v>
      </c>
      <c r="M311" s="384">
        <f t="shared" si="106"/>
        <v>66.236903956799239</v>
      </c>
      <c r="N311" s="384">
        <f t="shared" si="106"/>
        <v>66.236903956799239</v>
      </c>
      <c r="O311" s="384">
        <f t="shared" si="106"/>
        <v>66.236903956799239</v>
      </c>
      <c r="P311" s="384">
        <f t="shared" si="106"/>
        <v>66.236903956799239</v>
      </c>
      <c r="Q311" s="384">
        <f t="shared" si="106"/>
        <v>66.236903956799239</v>
      </c>
      <c r="R311" s="384">
        <f t="shared" si="106"/>
        <v>66.236903956799239</v>
      </c>
      <c r="S311" s="384">
        <f t="shared" si="106"/>
        <v>66.236903956799239</v>
      </c>
      <c r="T311" s="384">
        <f t="shared" si="106"/>
        <v>66.236903956799239</v>
      </c>
      <c r="U311" s="384">
        <f t="shared" si="106"/>
        <v>66.236903956799239</v>
      </c>
      <c r="V311" s="385">
        <f t="shared" si="106"/>
        <v>66.236903956799239</v>
      </c>
      <c r="W311" s="399">
        <f t="shared" si="106"/>
        <v>66.236903956799239</v>
      </c>
      <c r="X311" s="324">
        <f t="shared" ref="X311:X343" si="107">SUM(K311:P311)</f>
        <v>397.42142374079538</v>
      </c>
      <c r="Y311" s="251" t="s">
        <v>1965</v>
      </c>
      <c r="Z311" s="279"/>
      <c r="AA311" s="235"/>
      <c r="AB311">
        <v>2</v>
      </c>
      <c r="AF311">
        <v>12</v>
      </c>
    </row>
    <row r="312" spans="1:32" ht="15.75" hidden="1" customHeight="1" thickBot="1">
      <c r="A312" s="209">
        <v>316</v>
      </c>
      <c r="B312" s="371" t="s">
        <v>26</v>
      </c>
      <c r="C312" s="372" t="s">
        <v>1948</v>
      </c>
      <c r="D312" s="372" t="s">
        <v>1974</v>
      </c>
      <c r="E312" s="373" t="s">
        <v>21</v>
      </c>
      <c r="F312" s="372" t="s">
        <v>1979</v>
      </c>
      <c r="G312" s="374" t="s">
        <v>1970</v>
      </c>
      <c r="H312" s="372" t="s">
        <v>1964</v>
      </c>
      <c r="I312" s="373"/>
      <c r="J312" s="431" t="s">
        <v>22</v>
      </c>
      <c r="K312" s="376">
        <f t="shared" ref="K312:V316" si="108">$W312/$AF312</f>
        <v>0</v>
      </c>
      <c r="L312" s="376">
        <f t="shared" si="108"/>
        <v>0</v>
      </c>
      <c r="M312" s="376">
        <f t="shared" si="108"/>
        <v>0</v>
      </c>
      <c r="N312" s="376">
        <f t="shared" si="108"/>
        <v>0</v>
      </c>
      <c r="O312" s="376">
        <f t="shared" si="108"/>
        <v>0</v>
      </c>
      <c r="P312" s="376">
        <f t="shared" si="108"/>
        <v>0</v>
      </c>
      <c r="Q312" s="376">
        <f t="shared" si="108"/>
        <v>0</v>
      </c>
      <c r="R312" s="376">
        <f t="shared" si="108"/>
        <v>0</v>
      </c>
      <c r="S312" s="376">
        <f t="shared" si="108"/>
        <v>0</v>
      </c>
      <c r="T312" s="376">
        <f t="shared" si="108"/>
        <v>0</v>
      </c>
      <c r="U312" s="376">
        <f t="shared" si="108"/>
        <v>0</v>
      </c>
      <c r="V312" s="377">
        <f t="shared" si="108"/>
        <v>0</v>
      </c>
      <c r="W312" s="429"/>
      <c r="X312" s="205">
        <f t="shared" si="107"/>
        <v>0</v>
      </c>
      <c r="Y312" s="251" t="s">
        <v>1965</v>
      </c>
      <c r="Z312" s="286"/>
      <c r="AA312" s="244"/>
      <c r="AB312">
        <v>1</v>
      </c>
      <c r="AF312">
        <v>12</v>
      </c>
    </row>
    <row r="313" spans="1:32" ht="15.75" hidden="1" customHeight="1" thickBot="1">
      <c r="A313" s="193">
        <v>317</v>
      </c>
      <c r="B313" s="379" t="s">
        <v>26</v>
      </c>
      <c r="C313" s="380" t="s">
        <v>1948</v>
      </c>
      <c r="D313" s="380" t="s">
        <v>1974</v>
      </c>
      <c r="E313" s="381" t="s">
        <v>21</v>
      </c>
      <c r="F313" s="380" t="s">
        <v>1979</v>
      </c>
      <c r="G313" s="382" t="s">
        <v>1970</v>
      </c>
      <c r="H313" s="380" t="s">
        <v>1964</v>
      </c>
      <c r="I313" s="381"/>
      <c r="J313" s="431" t="s">
        <v>10</v>
      </c>
      <c r="K313" s="384">
        <f t="shared" si="108"/>
        <v>1151.5</v>
      </c>
      <c r="L313" s="384">
        <f t="shared" si="108"/>
        <v>1151.5</v>
      </c>
      <c r="M313" s="384">
        <f t="shared" si="108"/>
        <v>1151.5</v>
      </c>
      <c r="N313" s="384">
        <f t="shared" si="108"/>
        <v>1151.5</v>
      </c>
      <c r="O313" s="384">
        <f t="shared" si="108"/>
        <v>1151.5</v>
      </c>
      <c r="P313" s="384">
        <f t="shared" si="108"/>
        <v>1151.5</v>
      </c>
      <c r="Q313" s="384">
        <f t="shared" si="108"/>
        <v>1151.5</v>
      </c>
      <c r="R313" s="384">
        <f t="shared" si="108"/>
        <v>1151.5</v>
      </c>
      <c r="S313" s="384">
        <f t="shared" si="108"/>
        <v>1151.5</v>
      </c>
      <c r="T313" s="384">
        <f t="shared" si="108"/>
        <v>1151.5</v>
      </c>
      <c r="U313" s="384">
        <f t="shared" si="108"/>
        <v>1151.5</v>
      </c>
      <c r="V313" s="385">
        <f t="shared" si="108"/>
        <v>1151.5</v>
      </c>
      <c r="W313" s="400">
        <v>13818</v>
      </c>
      <c r="X313" s="205">
        <f t="shared" si="107"/>
        <v>6909</v>
      </c>
      <c r="Y313" s="251" t="s">
        <v>1965</v>
      </c>
      <c r="Z313" s="275"/>
      <c r="AA313" s="218"/>
      <c r="AB313">
        <v>1</v>
      </c>
      <c r="AF313">
        <v>12</v>
      </c>
    </row>
    <row r="314" spans="1:32" ht="15.75" hidden="1" customHeight="1" thickBot="1">
      <c r="A314" s="209">
        <v>318</v>
      </c>
      <c r="B314" s="379" t="s">
        <v>26</v>
      </c>
      <c r="C314" s="380" t="s">
        <v>1948</v>
      </c>
      <c r="D314" s="380" t="s">
        <v>1974</v>
      </c>
      <c r="E314" s="381" t="s">
        <v>21</v>
      </c>
      <c r="F314" s="380" t="s">
        <v>1979</v>
      </c>
      <c r="G314" s="382" t="s">
        <v>1970</v>
      </c>
      <c r="H314" s="380" t="s">
        <v>1964</v>
      </c>
      <c r="I314" s="381"/>
      <c r="J314" s="431" t="s">
        <v>23</v>
      </c>
      <c r="K314" s="384">
        <f t="shared" si="108"/>
        <v>195829.7434694235</v>
      </c>
      <c r="L314" s="384">
        <f t="shared" si="108"/>
        <v>195829.7434694235</v>
      </c>
      <c r="M314" s="384">
        <f t="shared" si="108"/>
        <v>195829.7434694235</v>
      </c>
      <c r="N314" s="384">
        <f t="shared" si="108"/>
        <v>195829.7434694235</v>
      </c>
      <c r="O314" s="384">
        <f t="shared" si="108"/>
        <v>195829.7434694235</v>
      </c>
      <c r="P314" s="384">
        <f t="shared" si="108"/>
        <v>195829.7434694235</v>
      </c>
      <c r="Q314" s="384">
        <f t="shared" si="108"/>
        <v>195829.7434694235</v>
      </c>
      <c r="R314" s="384">
        <f t="shared" si="108"/>
        <v>195829.7434694235</v>
      </c>
      <c r="S314" s="384">
        <f t="shared" si="108"/>
        <v>195829.7434694235</v>
      </c>
      <c r="T314" s="384">
        <f t="shared" si="108"/>
        <v>195829.7434694235</v>
      </c>
      <c r="U314" s="384">
        <f t="shared" si="108"/>
        <v>195829.7434694235</v>
      </c>
      <c r="V314" s="385">
        <f t="shared" si="108"/>
        <v>195829.7434694235</v>
      </c>
      <c r="W314" s="400">
        <v>2349956.921633082</v>
      </c>
      <c r="X314" s="205">
        <f t="shared" si="107"/>
        <v>1174978.460816541</v>
      </c>
      <c r="Y314" s="251" t="s">
        <v>1965</v>
      </c>
      <c r="Z314" s="275"/>
      <c r="AA314" s="218"/>
      <c r="AB314">
        <v>1</v>
      </c>
      <c r="AF314">
        <v>12</v>
      </c>
    </row>
    <row r="315" spans="1:32" ht="15.75" hidden="1" customHeight="1" thickBot="1">
      <c r="A315" s="209">
        <v>319</v>
      </c>
      <c r="B315" s="379" t="s">
        <v>26</v>
      </c>
      <c r="C315" s="380" t="s">
        <v>1948</v>
      </c>
      <c r="D315" s="380" t="s">
        <v>1974</v>
      </c>
      <c r="E315" s="381" t="s">
        <v>21</v>
      </c>
      <c r="F315" s="380" t="s">
        <v>1979</v>
      </c>
      <c r="G315" s="382" t="s">
        <v>1970</v>
      </c>
      <c r="H315" s="380" t="s">
        <v>1964</v>
      </c>
      <c r="I315" s="381"/>
      <c r="J315" s="431" t="s">
        <v>24</v>
      </c>
      <c r="K315" s="384">
        <f t="shared" si="108"/>
        <v>31207.036384829971</v>
      </c>
      <c r="L315" s="384">
        <f t="shared" si="108"/>
        <v>31207.036384829971</v>
      </c>
      <c r="M315" s="384">
        <f t="shared" si="108"/>
        <v>31207.036384829971</v>
      </c>
      <c r="N315" s="384">
        <f t="shared" si="108"/>
        <v>31207.036384829971</v>
      </c>
      <c r="O315" s="384">
        <f t="shared" si="108"/>
        <v>31207.036384829971</v>
      </c>
      <c r="P315" s="384">
        <f t="shared" si="108"/>
        <v>31207.036384829971</v>
      </c>
      <c r="Q315" s="384">
        <f t="shared" si="108"/>
        <v>31207.036384829971</v>
      </c>
      <c r="R315" s="384">
        <f t="shared" si="108"/>
        <v>31207.036384829971</v>
      </c>
      <c r="S315" s="384">
        <f t="shared" si="108"/>
        <v>31207.036384829971</v>
      </c>
      <c r="T315" s="384">
        <f t="shared" si="108"/>
        <v>31207.036384829971</v>
      </c>
      <c r="U315" s="384">
        <f t="shared" si="108"/>
        <v>31207.036384829971</v>
      </c>
      <c r="V315" s="385">
        <f t="shared" si="108"/>
        <v>31207.036384829971</v>
      </c>
      <c r="W315" s="400">
        <v>374484.43661795964</v>
      </c>
      <c r="X315" s="205">
        <f t="shared" si="107"/>
        <v>187242.21830897982</v>
      </c>
      <c r="Y315" s="251" t="s">
        <v>1965</v>
      </c>
      <c r="Z315" s="275"/>
      <c r="AA315" s="218"/>
      <c r="AB315">
        <v>1</v>
      </c>
      <c r="AF315">
        <v>12</v>
      </c>
    </row>
    <row r="316" spans="1:32" ht="15.75" hidden="1" customHeight="1" thickBot="1">
      <c r="A316" s="209">
        <v>320</v>
      </c>
      <c r="B316" s="379" t="s">
        <v>26</v>
      </c>
      <c r="C316" s="380" t="s">
        <v>1948</v>
      </c>
      <c r="D316" s="380" t="s">
        <v>1974</v>
      </c>
      <c r="E316" s="381" t="s">
        <v>21</v>
      </c>
      <c r="F316" s="380" t="s">
        <v>1979</v>
      </c>
      <c r="G316" s="382" t="s">
        <v>1970</v>
      </c>
      <c r="H316" s="380" t="s">
        <v>1964</v>
      </c>
      <c r="I316" s="381"/>
      <c r="J316" s="431" t="s">
        <v>14</v>
      </c>
      <c r="K316" s="384">
        <f t="shared" si="108"/>
        <v>227036.77985425349</v>
      </c>
      <c r="L316" s="384">
        <f t="shared" si="108"/>
        <v>227036.77985425349</v>
      </c>
      <c r="M316" s="384">
        <f t="shared" si="108"/>
        <v>227036.77985425349</v>
      </c>
      <c r="N316" s="384">
        <f t="shared" si="108"/>
        <v>227036.77985425349</v>
      </c>
      <c r="O316" s="384">
        <f t="shared" si="108"/>
        <v>227036.77985425349</v>
      </c>
      <c r="P316" s="384">
        <f t="shared" si="108"/>
        <v>227036.77985425349</v>
      </c>
      <c r="Q316" s="384">
        <f t="shared" si="108"/>
        <v>227036.77985425349</v>
      </c>
      <c r="R316" s="384">
        <f t="shared" si="108"/>
        <v>227036.77985425349</v>
      </c>
      <c r="S316" s="384">
        <f t="shared" si="108"/>
        <v>227036.77985425349</v>
      </c>
      <c r="T316" s="384">
        <f t="shared" si="108"/>
        <v>227036.77985425349</v>
      </c>
      <c r="U316" s="384">
        <f t="shared" si="108"/>
        <v>227036.77985425349</v>
      </c>
      <c r="V316" s="385">
        <f t="shared" si="108"/>
        <v>227036.77985425349</v>
      </c>
      <c r="W316" s="399">
        <f>W315+W314</f>
        <v>2724441.3582510417</v>
      </c>
      <c r="X316" s="205">
        <f t="shared" si="107"/>
        <v>1362220.6791255209</v>
      </c>
      <c r="Y316" s="251" t="s">
        <v>1965</v>
      </c>
      <c r="Z316" s="275"/>
      <c r="AA316" s="218"/>
      <c r="AB316">
        <v>1</v>
      </c>
      <c r="AF316">
        <v>12</v>
      </c>
    </row>
    <row r="317" spans="1:32" ht="15.75" hidden="1" customHeight="1" thickBot="1">
      <c r="A317" s="193">
        <v>321</v>
      </c>
      <c r="B317" s="379" t="s">
        <v>26</v>
      </c>
      <c r="C317" s="380" t="s">
        <v>1948</v>
      </c>
      <c r="D317" s="380" t="s">
        <v>1974</v>
      </c>
      <c r="E317" s="381" t="s">
        <v>21</v>
      </c>
      <c r="F317" s="380" t="s">
        <v>1979</v>
      </c>
      <c r="G317" s="382" t="s">
        <v>1970</v>
      </c>
      <c r="H317" s="380" t="s">
        <v>1964</v>
      </c>
      <c r="I317" s="381"/>
      <c r="J317" s="431" t="s">
        <v>25</v>
      </c>
      <c r="K317" s="384" t="e">
        <f>K313/K312</f>
        <v>#DIV/0!</v>
      </c>
      <c r="L317" s="384" t="e">
        <f t="shared" ref="L317:W317" si="109">L313/L312</f>
        <v>#DIV/0!</v>
      </c>
      <c r="M317" s="384" t="e">
        <f t="shared" si="109"/>
        <v>#DIV/0!</v>
      </c>
      <c r="N317" s="384" t="e">
        <f t="shared" si="109"/>
        <v>#DIV/0!</v>
      </c>
      <c r="O317" s="384" t="e">
        <f t="shared" si="109"/>
        <v>#DIV/0!</v>
      </c>
      <c r="P317" s="384" t="e">
        <f t="shared" si="109"/>
        <v>#DIV/0!</v>
      </c>
      <c r="Q317" s="384" t="e">
        <f t="shared" si="109"/>
        <v>#DIV/0!</v>
      </c>
      <c r="R317" s="384" t="e">
        <f t="shared" si="109"/>
        <v>#DIV/0!</v>
      </c>
      <c r="S317" s="384" t="e">
        <f t="shared" si="109"/>
        <v>#DIV/0!</v>
      </c>
      <c r="T317" s="384" t="e">
        <f t="shared" si="109"/>
        <v>#DIV/0!</v>
      </c>
      <c r="U317" s="384" t="e">
        <f t="shared" si="109"/>
        <v>#DIV/0!</v>
      </c>
      <c r="V317" s="385" t="e">
        <f t="shared" si="109"/>
        <v>#DIV/0!</v>
      </c>
      <c r="W317" s="399" t="e">
        <f t="shared" si="109"/>
        <v>#DIV/0!</v>
      </c>
      <c r="X317" s="324" t="e">
        <f t="shared" si="107"/>
        <v>#DIV/0!</v>
      </c>
      <c r="Y317" s="251" t="s">
        <v>1965</v>
      </c>
      <c r="Z317" s="275"/>
      <c r="AA317" s="218"/>
      <c r="AB317">
        <v>2</v>
      </c>
      <c r="AF317">
        <v>12</v>
      </c>
    </row>
    <row r="318" spans="1:32" ht="15.75" hidden="1" customHeight="1" thickBot="1">
      <c r="A318" s="367">
        <v>322</v>
      </c>
      <c r="B318" s="413" t="s">
        <v>26</v>
      </c>
      <c r="C318" s="414" t="s">
        <v>1948</v>
      </c>
      <c r="D318" s="414" t="s">
        <v>1974</v>
      </c>
      <c r="E318" s="415" t="s">
        <v>21</v>
      </c>
      <c r="F318" s="414" t="s">
        <v>1979</v>
      </c>
      <c r="G318" s="416" t="s">
        <v>1970</v>
      </c>
      <c r="H318" s="414" t="s">
        <v>1964</v>
      </c>
      <c r="I318" s="415"/>
      <c r="J318" s="434" t="s">
        <v>16</v>
      </c>
      <c r="K318" s="418">
        <f>K316/K313</f>
        <v>197.1661136380838</v>
      </c>
      <c r="L318" s="418">
        <f t="shared" ref="L318:W318" si="110">L316/L313</f>
        <v>197.1661136380838</v>
      </c>
      <c r="M318" s="418">
        <f t="shared" si="110"/>
        <v>197.1661136380838</v>
      </c>
      <c r="N318" s="418">
        <f t="shared" si="110"/>
        <v>197.1661136380838</v>
      </c>
      <c r="O318" s="418">
        <f t="shared" si="110"/>
        <v>197.1661136380838</v>
      </c>
      <c r="P318" s="418">
        <f t="shared" si="110"/>
        <v>197.1661136380838</v>
      </c>
      <c r="Q318" s="418">
        <f t="shared" si="110"/>
        <v>197.1661136380838</v>
      </c>
      <c r="R318" s="418">
        <f t="shared" si="110"/>
        <v>197.1661136380838</v>
      </c>
      <c r="S318" s="418">
        <f t="shared" si="110"/>
        <v>197.1661136380838</v>
      </c>
      <c r="T318" s="418">
        <f t="shared" si="110"/>
        <v>197.1661136380838</v>
      </c>
      <c r="U318" s="418">
        <f t="shared" si="110"/>
        <v>197.1661136380838</v>
      </c>
      <c r="V318" s="419">
        <f t="shared" si="110"/>
        <v>197.1661136380838</v>
      </c>
      <c r="W318" s="422">
        <f t="shared" si="110"/>
        <v>197.16611363808377</v>
      </c>
      <c r="X318" s="324">
        <f t="shared" si="107"/>
        <v>1182.9966818285027</v>
      </c>
      <c r="Y318" s="251" t="s">
        <v>1965</v>
      </c>
      <c r="Z318" s="279"/>
      <c r="AA318" s="235"/>
      <c r="AB318">
        <v>2</v>
      </c>
      <c r="AF318">
        <v>12</v>
      </c>
    </row>
    <row r="319" spans="1:32" ht="15.75" hidden="1" customHeight="1" thickBot="1">
      <c r="A319" s="236">
        <v>323</v>
      </c>
      <c r="B319" s="371" t="s">
        <v>26</v>
      </c>
      <c r="C319" s="372" t="s">
        <v>1943</v>
      </c>
      <c r="D319" s="372" t="s">
        <v>1976</v>
      </c>
      <c r="E319" s="373" t="s">
        <v>21</v>
      </c>
      <c r="F319" s="372" t="s">
        <v>1975</v>
      </c>
      <c r="G319" s="374" t="s">
        <v>1980</v>
      </c>
      <c r="H319" s="372" t="s">
        <v>1967</v>
      </c>
      <c r="I319" s="373"/>
      <c r="J319" s="435" t="s">
        <v>10</v>
      </c>
      <c r="K319" s="376">
        <f t="shared" ref="K319:V320" si="111">$W319/$AF319</f>
        <v>5885.666666666667</v>
      </c>
      <c r="L319" s="376">
        <f t="shared" si="111"/>
        <v>5885.666666666667</v>
      </c>
      <c r="M319" s="376">
        <f t="shared" si="111"/>
        <v>5885.666666666667</v>
      </c>
      <c r="N319" s="376">
        <f t="shared" si="111"/>
        <v>5885.666666666667</v>
      </c>
      <c r="O319" s="376">
        <f t="shared" si="111"/>
        <v>5885.666666666667</v>
      </c>
      <c r="P319" s="376">
        <f t="shared" si="111"/>
        <v>5885.666666666667</v>
      </c>
      <c r="Q319" s="376">
        <f t="shared" si="111"/>
        <v>5885.666666666667</v>
      </c>
      <c r="R319" s="376">
        <f t="shared" si="111"/>
        <v>5885.666666666667</v>
      </c>
      <c r="S319" s="376">
        <f t="shared" si="111"/>
        <v>5885.666666666667</v>
      </c>
      <c r="T319" s="376">
        <f t="shared" si="111"/>
        <v>5885.666666666667</v>
      </c>
      <c r="U319" s="376">
        <f t="shared" si="111"/>
        <v>5885.666666666667</v>
      </c>
      <c r="V319" s="377">
        <f t="shared" si="111"/>
        <v>5885.666666666667</v>
      </c>
      <c r="W319" s="429">
        <v>70628</v>
      </c>
      <c r="X319" s="205">
        <f t="shared" si="107"/>
        <v>35314</v>
      </c>
      <c r="Y319" s="251" t="s">
        <v>1965</v>
      </c>
      <c r="Z319" s="286">
        <v>1</v>
      </c>
      <c r="AA319" s="244"/>
      <c r="AB319">
        <v>1</v>
      </c>
      <c r="AF319">
        <v>12</v>
      </c>
    </row>
    <row r="320" spans="1:32" ht="15.75" hidden="1" customHeight="1" thickBot="1">
      <c r="A320" s="209">
        <v>324</v>
      </c>
      <c r="B320" s="379" t="s">
        <v>26</v>
      </c>
      <c r="C320" s="380" t="s">
        <v>1943</v>
      </c>
      <c r="D320" s="380" t="s">
        <v>1976</v>
      </c>
      <c r="E320" s="381" t="s">
        <v>21</v>
      </c>
      <c r="F320" s="380" t="s">
        <v>1975</v>
      </c>
      <c r="G320" s="382" t="s">
        <v>1980</v>
      </c>
      <c r="H320" s="380" t="s">
        <v>1967</v>
      </c>
      <c r="I320" s="381"/>
      <c r="J320" s="431" t="s">
        <v>14</v>
      </c>
      <c r="K320" s="384">
        <f t="shared" si="111"/>
        <v>153750</v>
      </c>
      <c r="L320" s="384">
        <f t="shared" si="111"/>
        <v>153750</v>
      </c>
      <c r="M320" s="384">
        <f t="shared" si="111"/>
        <v>153750</v>
      </c>
      <c r="N320" s="384">
        <f t="shared" si="111"/>
        <v>153750</v>
      </c>
      <c r="O320" s="384">
        <f t="shared" si="111"/>
        <v>153750</v>
      </c>
      <c r="P320" s="384">
        <f t="shared" si="111"/>
        <v>153750</v>
      </c>
      <c r="Q320" s="384">
        <f t="shared" si="111"/>
        <v>153750</v>
      </c>
      <c r="R320" s="384">
        <f t="shared" si="111"/>
        <v>153750</v>
      </c>
      <c r="S320" s="384">
        <f t="shared" si="111"/>
        <v>153750</v>
      </c>
      <c r="T320" s="384">
        <f t="shared" si="111"/>
        <v>153750</v>
      </c>
      <c r="U320" s="384">
        <f t="shared" si="111"/>
        <v>153750</v>
      </c>
      <c r="V320" s="385">
        <f t="shared" si="111"/>
        <v>153750</v>
      </c>
      <c r="W320" s="400">
        <v>1845000</v>
      </c>
      <c r="X320" s="205">
        <f t="shared" si="107"/>
        <v>922500</v>
      </c>
      <c r="Y320" s="251" t="s">
        <v>1965</v>
      </c>
      <c r="Z320" s="275">
        <v>1</v>
      </c>
      <c r="AA320" s="218"/>
      <c r="AB320">
        <v>1</v>
      </c>
      <c r="AF320">
        <v>12</v>
      </c>
    </row>
    <row r="321" spans="1:32" ht="15.75" hidden="1" customHeight="1" thickBot="1">
      <c r="A321" s="436">
        <v>325</v>
      </c>
      <c r="B321" s="389" t="s">
        <v>26</v>
      </c>
      <c r="C321" s="390" t="s">
        <v>1943</v>
      </c>
      <c r="D321" s="390" t="s">
        <v>1976</v>
      </c>
      <c r="E321" s="391" t="s">
        <v>21</v>
      </c>
      <c r="F321" s="390" t="s">
        <v>1975</v>
      </c>
      <c r="G321" s="392" t="s">
        <v>1980</v>
      </c>
      <c r="H321" s="390" t="s">
        <v>1967</v>
      </c>
      <c r="I321" s="391"/>
      <c r="J321" s="432" t="s">
        <v>16</v>
      </c>
      <c r="K321" s="409">
        <f>K320/K319</f>
        <v>26.122784164920425</v>
      </c>
      <c r="L321" s="409">
        <f t="shared" ref="L321:W321" si="112">L320/L319</f>
        <v>26.122784164920425</v>
      </c>
      <c r="M321" s="409">
        <f t="shared" si="112"/>
        <v>26.122784164920425</v>
      </c>
      <c r="N321" s="409">
        <f t="shared" si="112"/>
        <v>26.122784164920425</v>
      </c>
      <c r="O321" s="409">
        <f t="shared" si="112"/>
        <v>26.122784164920425</v>
      </c>
      <c r="P321" s="409">
        <f t="shared" si="112"/>
        <v>26.122784164920425</v>
      </c>
      <c r="Q321" s="409">
        <f t="shared" si="112"/>
        <v>26.122784164920425</v>
      </c>
      <c r="R321" s="409">
        <f t="shared" si="112"/>
        <v>26.122784164920425</v>
      </c>
      <c r="S321" s="409">
        <f t="shared" si="112"/>
        <v>26.122784164920425</v>
      </c>
      <c r="T321" s="409">
        <f t="shared" si="112"/>
        <v>26.122784164920425</v>
      </c>
      <c r="U321" s="409">
        <f t="shared" si="112"/>
        <v>26.122784164920425</v>
      </c>
      <c r="V321" s="410">
        <f t="shared" si="112"/>
        <v>26.122784164920425</v>
      </c>
      <c r="W321" s="411">
        <f t="shared" si="112"/>
        <v>26.122784164920429</v>
      </c>
      <c r="X321" s="412">
        <f t="shared" si="107"/>
        <v>156.73670498952256</v>
      </c>
      <c r="Y321" s="251" t="s">
        <v>1965</v>
      </c>
      <c r="Z321" s="279">
        <v>1</v>
      </c>
      <c r="AA321" s="235"/>
      <c r="AB321">
        <v>2</v>
      </c>
      <c r="AF321">
        <v>12</v>
      </c>
    </row>
    <row r="322" spans="1:32" ht="15.75" hidden="1" customHeight="1" thickBot="1">
      <c r="A322" s="193">
        <v>326</v>
      </c>
      <c r="B322" s="402" t="s">
        <v>26</v>
      </c>
      <c r="C322" s="403" t="s">
        <v>1943</v>
      </c>
      <c r="D322" s="403" t="s">
        <v>1976</v>
      </c>
      <c r="E322" s="404" t="s">
        <v>21</v>
      </c>
      <c r="F322" s="403" t="s">
        <v>1975</v>
      </c>
      <c r="G322" s="403" t="s">
        <v>1986</v>
      </c>
      <c r="H322" s="403"/>
      <c r="I322" s="404"/>
      <c r="J322" s="433" t="s">
        <v>9</v>
      </c>
      <c r="K322" s="406"/>
      <c r="L322" s="406"/>
      <c r="M322" s="406"/>
      <c r="N322" s="406"/>
      <c r="O322" s="406"/>
      <c r="P322" s="406"/>
      <c r="Q322" s="406"/>
      <c r="R322" s="406"/>
      <c r="S322" s="406"/>
      <c r="T322" s="406"/>
      <c r="U322" s="406"/>
      <c r="V322" s="407"/>
      <c r="W322" s="425">
        <f>SUM(K322:V322)</f>
        <v>0</v>
      </c>
      <c r="X322" s="205">
        <f t="shared" si="107"/>
        <v>0</v>
      </c>
      <c r="Y322" s="251" t="s">
        <v>1965</v>
      </c>
      <c r="Z322" s="271">
        <v>1</v>
      </c>
      <c r="AA322" s="244"/>
      <c r="AB322">
        <v>1</v>
      </c>
    </row>
    <row r="323" spans="1:32" ht="15.75" hidden="1" customHeight="1" thickBot="1">
      <c r="A323" s="209">
        <v>327</v>
      </c>
      <c r="B323" s="402" t="s">
        <v>26</v>
      </c>
      <c r="C323" s="403" t="s">
        <v>1943</v>
      </c>
      <c r="D323" s="403" t="s">
        <v>1976</v>
      </c>
      <c r="E323" s="404" t="s">
        <v>21</v>
      </c>
      <c r="F323" s="403" t="s">
        <v>1975</v>
      </c>
      <c r="G323" s="403" t="s">
        <v>1986</v>
      </c>
      <c r="H323" s="403"/>
      <c r="I323" s="404"/>
      <c r="J323" s="431" t="s">
        <v>10</v>
      </c>
      <c r="K323" s="406">
        <f>$W323/$AF323</f>
        <v>5885.666666666667</v>
      </c>
      <c r="L323" s="406">
        <f>$W323/$AF323</f>
        <v>5885.666666666667</v>
      </c>
      <c r="M323" s="406">
        <f t="shared" ref="M323:V324" si="113">$W323/$AF323</f>
        <v>5885.666666666667</v>
      </c>
      <c r="N323" s="406">
        <f t="shared" si="113"/>
        <v>5885.666666666667</v>
      </c>
      <c r="O323" s="406">
        <f t="shared" si="113"/>
        <v>5885.666666666667</v>
      </c>
      <c r="P323" s="406">
        <f t="shared" si="113"/>
        <v>5885.666666666667</v>
      </c>
      <c r="Q323" s="406">
        <f t="shared" si="113"/>
        <v>5885.666666666667</v>
      </c>
      <c r="R323" s="406">
        <f t="shared" si="113"/>
        <v>5885.666666666667</v>
      </c>
      <c r="S323" s="406">
        <f t="shared" si="113"/>
        <v>5885.666666666667</v>
      </c>
      <c r="T323" s="406">
        <f t="shared" si="113"/>
        <v>5885.666666666667</v>
      </c>
      <c r="U323" s="406">
        <f t="shared" si="113"/>
        <v>5885.666666666667</v>
      </c>
      <c r="V323" s="407">
        <f t="shared" si="113"/>
        <v>5885.666666666667</v>
      </c>
      <c r="W323" s="429">
        <v>70628</v>
      </c>
      <c r="X323" s="205">
        <f t="shared" si="107"/>
        <v>35314</v>
      </c>
      <c r="Y323" s="251" t="s">
        <v>1965</v>
      </c>
      <c r="Z323" s="271">
        <v>1</v>
      </c>
      <c r="AA323" s="207"/>
      <c r="AB323">
        <v>1</v>
      </c>
      <c r="AF323">
        <v>12</v>
      </c>
    </row>
    <row r="324" spans="1:32" ht="15.75" hidden="1" customHeight="1" thickBot="1">
      <c r="A324" s="209">
        <v>328</v>
      </c>
      <c r="B324" s="379" t="s">
        <v>26</v>
      </c>
      <c r="C324" s="380" t="s">
        <v>1943</v>
      </c>
      <c r="D324" s="380" t="s">
        <v>1976</v>
      </c>
      <c r="E324" s="381" t="s">
        <v>21</v>
      </c>
      <c r="F324" s="380" t="s">
        <v>1975</v>
      </c>
      <c r="G324" s="380" t="s">
        <v>1986</v>
      </c>
      <c r="H324" s="380"/>
      <c r="I324" s="381"/>
      <c r="J324" s="431" t="s">
        <v>14</v>
      </c>
      <c r="K324" s="384">
        <f>$W324/$AF324</f>
        <v>153750</v>
      </c>
      <c r="L324" s="384">
        <f>$W324/$AF324</f>
        <v>153750</v>
      </c>
      <c r="M324" s="384">
        <f t="shared" si="113"/>
        <v>153750</v>
      </c>
      <c r="N324" s="384">
        <f t="shared" si="113"/>
        <v>153750</v>
      </c>
      <c r="O324" s="384">
        <f t="shared" si="113"/>
        <v>153750</v>
      </c>
      <c r="P324" s="384">
        <f t="shared" si="113"/>
        <v>153750</v>
      </c>
      <c r="Q324" s="384">
        <f t="shared" si="113"/>
        <v>153750</v>
      </c>
      <c r="R324" s="384">
        <f t="shared" si="113"/>
        <v>153750</v>
      </c>
      <c r="S324" s="384">
        <f t="shared" si="113"/>
        <v>153750</v>
      </c>
      <c r="T324" s="384">
        <f t="shared" si="113"/>
        <v>153750</v>
      </c>
      <c r="U324" s="384">
        <f t="shared" si="113"/>
        <v>153750</v>
      </c>
      <c r="V324" s="385">
        <f t="shared" si="113"/>
        <v>153750</v>
      </c>
      <c r="W324" s="400">
        <v>1845000</v>
      </c>
      <c r="X324" s="205">
        <f t="shared" si="107"/>
        <v>922500</v>
      </c>
      <c r="Y324" s="251" t="s">
        <v>1965</v>
      </c>
      <c r="Z324" s="275">
        <v>1</v>
      </c>
      <c r="AA324" s="218"/>
      <c r="AB324">
        <v>1</v>
      </c>
      <c r="AF324">
        <v>12</v>
      </c>
    </row>
    <row r="325" spans="1:32" ht="15.75" hidden="1" customHeight="1" thickBot="1">
      <c r="A325" s="193">
        <v>329</v>
      </c>
      <c r="B325" s="389" t="s">
        <v>26</v>
      </c>
      <c r="C325" s="390" t="s">
        <v>1943</v>
      </c>
      <c r="D325" s="390" t="s">
        <v>1976</v>
      </c>
      <c r="E325" s="391" t="s">
        <v>21</v>
      </c>
      <c r="F325" s="390" t="s">
        <v>1975</v>
      </c>
      <c r="G325" s="390" t="s">
        <v>1986</v>
      </c>
      <c r="H325" s="390"/>
      <c r="I325" s="391"/>
      <c r="J325" s="431" t="s">
        <v>16</v>
      </c>
      <c r="K325" s="394">
        <f>K324/K323</f>
        <v>26.122784164920425</v>
      </c>
      <c r="L325" s="394">
        <f t="shared" ref="L325:W325" si="114">L324/L323</f>
        <v>26.122784164920425</v>
      </c>
      <c r="M325" s="394">
        <f t="shared" si="114"/>
        <v>26.122784164920425</v>
      </c>
      <c r="N325" s="394">
        <f t="shared" si="114"/>
        <v>26.122784164920425</v>
      </c>
      <c r="O325" s="394">
        <f t="shared" si="114"/>
        <v>26.122784164920425</v>
      </c>
      <c r="P325" s="394">
        <f t="shared" si="114"/>
        <v>26.122784164920425</v>
      </c>
      <c r="Q325" s="394">
        <f t="shared" si="114"/>
        <v>26.122784164920425</v>
      </c>
      <c r="R325" s="394">
        <f t="shared" si="114"/>
        <v>26.122784164920425</v>
      </c>
      <c r="S325" s="394">
        <f t="shared" si="114"/>
        <v>26.122784164920425</v>
      </c>
      <c r="T325" s="394">
        <f t="shared" si="114"/>
        <v>26.122784164920425</v>
      </c>
      <c r="U325" s="394">
        <f t="shared" si="114"/>
        <v>26.122784164920425</v>
      </c>
      <c r="V325" s="395">
        <f t="shared" si="114"/>
        <v>26.122784164920425</v>
      </c>
      <c r="W325" s="401">
        <f t="shared" si="114"/>
        <v>26.122784164920429</v>
      </c>
      <c r="X325" s="412">
        <f t="shared" si="107"/>
        <v>156.73670498952256</v>
      </c>
      <c r="Y325" s="251" t="s">
        <v>1965</v>
      </c>
      <c r="Z325" s="279">
        <v>1</v>
      </c>
      <c r="AA325" s="235"/>
      <c r="AB325">
        <v>2</v>
      </c>
      <c r="AF325">
        <v>12</v>
      </c>
    </row>
    <row r="326" spans="1:32" ht="15.75" hidden="1" customHeight="1" thickBot="1">
      <c r="A326" s="209">
        <v>330</v>
      </c>
      <c r="B326" s="371" t="s">
        <v>26</v>
      </c>
      <c r="C326" s="372" t="s">
        <v>1948</v>
      </c>
      <c r="D326" s="372"/>
      <c r="E326" s="373" t="s">
        <v>21</v>
      </c>
      <c r="F326" s="372" t="s">
        <v>1979</v>
      </c>
      <c r="G326" s="374" t="s">
        <v>1980</v>
      </c>
      <c r="H326" s="372" t="s">
        <v>1964</v>
      </c>
      <c r="I326" s="373"/>
      <c r="J326" s="375" t="s">
        <v>10</v>
      </c>
      <c r="K326" s="376">
        <f>$W326/$AF326</f>
        <v>0</v>
      </c>
      <c r="L326" s="376">
        <f>$W326/$AF326</f>
        <v>0</v>
      </c>
      <c r="M326" s="376">
        <f t="shared" ref="M326:V327" si="115">$W326/$AF326</f>
        <v>0</v>
      </c>
      <c r="N326" s="376">
        <f t="shared" si="115"/>
        <v>0</v>
      </c>
      <c r="O326" s="376">
        <f t="shared" si="115"/>
        <v>0</v>
      </c>
      <c r="P326" s="376">
        <f t="shared" si="115"/>
        <v>0</v>
      </c>
      <c r="Q326" s="376">
        <f t="shared" si="115"/>
        <v>0</v>
      </c>
      <c r="R326" s="376">
        <f t="shared" si="115"/>
        <v>0</v>
      </c>
      <c r="S326" s="376">
        <f t="shared" si="115"/>
        <v>0</v>
      </c>
      <c r="T326" s="376">
        <f t="shared" si="115"/>
        <v>0</v>
      </c>
      <c r="U326" s="376">
        <f t="shared" si="115"/>
        <v>0</v>
      </c>
      <c r="V326" s="377">
        <f t="shared" si="115"/>
        <v>0</v>
      </c>
      <c r="W326" s="429"/>
      <c r="X326" s="205">
        <f t="shared" si="107"/>
        <v>0</v>
      </c>
      <c r="Y326" s="251" t="s">
        <v>1965</v>
      </c>
      <c r="Z326" s="286">
        <v>1</v>
      </c>
      <c r="AA326" s="244"/>
      <c r="AB326">
        <v>1</v>
      </c>
      <c r="AF326">
        <v>12</v>
      </c>
    </row>
    <row r="327" spans="1:32" ht="15.75" hidden="1" customHeight="1" thickBot="1">
      <c r="A327" s="209">
        <v>331</v>
      </c>
      <c r="B327" s="379" t="s">
        <v>26</v>
      </c>
      <c r="C327" s="380" t="s">
        <v>1948</v>
      </c>
      <c r="D327" s="380"/>
      <c r="E327" s="381" t="s">
        <v>21</v>
      </c>
      <c r="F327" s="380" t="s">
        <v>1979</v>
      </c>
      <c r="G327" s="382" t="s">
        <v>1980</v>
      </c>
      <c r="H327" s="380" t="s">
        <v>1964</v>
      </c>
      <c r="I327" s="381"/>
      <c r="J327" s="383" t="s">
        <v>14</v>
      </c>
      <c r="K327" s="384">
        <f>$W327/$AF327</f>
        <v>0</v>
      </c>
      <c r="L327" s="384">
        <f>$W327/$AF327</f>
        <v>0</v>
      </c>
      <c r="M327" s="384">
        <f t="shared" si="115"/>
        <v>0</v>
      </c>
      <c r="N327" s="384">
        <f t="shared" si="115"/>
        <v>0</v>
      </c>
      <c r="O327" s="384">
        <f t="shared" si="115"/>
        <v>0</v>
      </c>
      <c r="P327" s="384">
        <f t="shared" si="115"/>
        <v>0</v>
      </c>
      <c r="Q327" s="384">
        <f t="shared" si="115"/>
        <v>0</v>
      </c>
      <c r="R327" s="384">
        <f t="shared" si="115"/>
        <v>0</v>
      </c>
      <c r="S327" s="384">
        <f t="shared" si="115"/>
        <v>0</v>
      </c>
      <c r="T327" s="384">
        <f t="shared" si="115"/>
        <v>0</v>
      </c>
      <c r="U327" s="384">
        <f t="shared" si="115"/>
        <v>0</v>
      </c>
      <c r="V327" s="385">
        <f t="shared" si="115"/>
        <v>0</v>
      </c>
      <c r="W327" s="400"/>
      <c r="X327" s="205">
        <f t="shared" si="107"/>
        <v>0</v>
      </c>
      <c r="Y327" s="251" t="s">
        <v>1965</v>
      </c>
      <c r="Z327" s="275">
        <v>1</v>
      </c>
      <c r="AA327" s="218"/>
      <c r="AB327">
        <v>1</v>
      </c>
      <c r="AF327">
        <v>12</v>
      </c>
    </row>
    <row r="328" spans="1:32" ht="15.75" hidden="1" customHeight="1" thickBot="1">
      <c r="A328" s="209">
        <v>332</v>
      </c>
      <c r="B328" s="389" t="s">
        <v>26</v>
      </c>
      <c r="C328" s="390" t="s">
        <v>1948</v>
      </c>
      <c r="D328" s="390"/>
      <c r="E328" s="391" t="s">
        <v>21</v>
      </c>
      <c r="F328" s="390" t="s">
        <v>1979</v>
      </c>
      <c r="G328" s="392" t="s">
        <v>1980</v>
      </c>
      <c r="H328" s="390" t="s">
        <v>1964</v>
      </c>
      <c r="I328" s="391"/>
      <c r="J328" s="430" t="s">
        <v>16</v>
      </c>
      <c r="K328" s="409" t="e">
        <f>K327/K326</f>
        <v>#DIV/0!</v>
      </c>
      <c r="L328" s="409" t="e">
        <f t="shared" ref="L328:W328" si="116">L327/L326</f>
        <v>#DIV/0!</v>
      </c>
      <c r="M328" s="409" t="e">
        <f t="shared" si="116"/>
        <v>#DIV/0!</v>
      </c>
      <c r="N328" s="409" t="e">
        <f t="shared" si="116"/>
        <v>#DIV/0!</v>
      </c>
      <c r="O328" s="409" t="e">
        <f t="shared" si="116"/>
        <v>#DIV/0!</v>
      </c>
      <c r="P328" s="409" t="e">
        <f t="shared" si="116"/>
        <v>#DIV/0!</v>
      </c>
      <c r="Q328" s="409" t="e">
        <f t="shared" si="116"/>
        <v>#DIV/0!</v>
      </c>
      <c r="R328" s="409" t="e">
        <f t="shared" si="116"/>
        <v>#DIV/0!</v>
      </c>
      <c r="S328" s="409" t="e">
        <f t="shared" si="116"/>
        <v>#DIV/0!</v>
      </c>
      <c r="T328" s="409" t="e">
        <f t="shared" si="116"/>
        <v>#DIV/0!</v>
      </c>
      <c r="U328" s="409" t="e">
        <f t="shared" si="116"/>
        <v>#DIV/0!</v>
      </c>
      <c r="V328" s="410" t="e">
        <f t="shared" si="116"/>
        <v>#DIV/0!</v>
      </c>
      <c r="W328" s="411" t="e">
        <f t="shared" si="116"/>
        <v>#DIV/0!</v>
      </c>
      <c r="X328" s="324" t="e">
        <f t="shared" si="107"/>
        <v>#DIV/0!</v>
      </c>
      <c r="Y328" s="251" t="s">
        <v>1965</v>
      </c>
      <c r="Z328" s="279">
        <v>1</v>
      </c>
      <c r="AA328" s="235"/>
      <c r="AB328">
        <v>2</v>
      </c>
      <c r="AF328">
        <v>12</v>
      </c>
    </row>
    <row r="329" spans="1:32" ht="15.75" hidden="1" customHeight="1" thickBot="1">
      <c r="A329" s="193">
        <v>333</v>
      </c>
      <c r="B329" s="379" t="s">
        <v>26</v>
      </c>
      <c r="C329" s="380" t="s">
        <v>1931</v>
      </c>
      <c r="E329" s="279" t="s">
        <v>20</v>
      </c>
      <c r="F329" s="437" t="s">
        <v>1987</v>
      </c>
      <c r="H329" s="437" t="s">
        <v>1964</v>
      </c>
      <c r="J329" s="375" t="s">
        <v>10</v>
      </c>
      <c r="K329" s="376">
        <f t="shared" ref="K329:V329" si="117">$W$329/12</f>
        <v>0</v>
      </c>
      <c r="L329" s="376">
        <f t="shared" si="117"/>
        <v>0</v>
      </c>
      <c r="M329" s="376">
        <f t="shared" si="117"/>
        <v>0</v>
      </c>
      <c r="N329" s="376">
        <f t="shared" si="117"/>
        <v>0</v>
      </c>
      <c r="O329" s="376">
        <f t="shared" si="117"/>
        <v>0</v>
      </c>
      <c r="P329" s="376">
        <f t="shared" si="117"/>
        <v>0</v>
      </c>
      <c r="Q329" s="376">
        <f t="shared" si="117"/>
        <v>0</v>
      </c>
      <c r="R329" s="376">
        <f t="shared" si="117"/>
        <v>0</v>
      </c>
      <c r="S329" s="376">
        <f t="shared" si="117"/>
        <v>0</v>
      </c>
      <c r="T329" s="376">
        <f t="shared" si="117"/>
        <v>0</v>
      </c>
      <c r="U329" s="376">
        <f t="shared" si="117"/>
        <v>0</v>
      </c>
      <c r="V329" s="377">
        <f t="shared" si="117"/>
        <v>0</v>
      </c>
      <c r="W329" s="429"/>
      <c r="X329" s="205">
        <f t="shared" si="107"/>
        <v>0</v>
      </c>
      <c r="Y329" s="251" t="s">
        <v>1965</v>
      </c>
      <c r="Z329" s="10"/>
      <c r="AB329">
        <v>1</v>
      </c>
    </row>
    <row r="330" spans="1:32" ht="15.75" hidden="1" customHeight="1" thickBot="1">
      <c r="A330" s="209">
        <v>334</v>
      </c>
      <c r="B330" s="379" t="s">
        <v>26</v>
      </c>
      <c r="C330" s="380" t="s">
        <v>1931</v>
      </c>
      <c r="E330" s="279" t="s">
        <v>20</v>
      </c>
      <c r="F330" s="437" t="s">
        <v>1987</v>
      </c>
      <c r="H330" s="437" t="s">
        <v>1964</v>
      </c>
      <c r="J330" s="383" t="s">
        <v>14</v>
      </c>
      <c r="K330" s="384">
        <f t="shared" ref="K330:V330" si="118">$W$330/12</f>
        <v>0</v>
      </c>
      <c r="L330" s="384">
        <f t="shared" si="118"/>
        <v>0</v>
      </c>
      <c r="M330" s="384">
        <f t="shared" si="118"/>
        <v>0</v>
      </c>
      <c r="N330" s="384">
        <f t="shared" si="118"/>
        <v>0</v>
      </c>
      <c r="O330" s="384">
        <f t="shared" si="118"/>
        <v>0</v>
      </c>
      <c r="P330" s="384">
        <f t="shared" si="118"/>
        <v>0</v>
      </c>
      <c r="Q330" s="384">
        <f t="shared" si="118"/>
        <v>0</v>
      </c>
      <c r="R330" s="384">
        <f t="shared" si="118"/>
        <v>0</v>
      </c>
      <c r="S330" s="384">
        <f t="shared" si="118"/>
        <v>0</v>
      </c>
      <c r="T330" s="384">
        <f t="shared" si="118"/>
        <v>0</v>
      </c>
      <c r="U330" s="384">
        <f t="shared" si="118"/>
        <v>0</v>
      </c>
      <c r="V330" s="385">
        <f t="shared" si="118"/>
        <v>0</v>
      </c>
      <c r="W330" s="400"/>
      <c r="X330" s="205">
        <f t="shared" si="107"/>
        <v>0</v>
      </c>
      <c r="Y330" s="251" t="s">
        <v>1965</v>
      </c>
      <c r="Z330" s="10"/>
      <c r="AB330">
        <v>1</v>
      </c>
    </row>
    <row r="331" spans="1:32" ht="15.75" hidden="1" customHeight="1" thickBot="1">
      <c r="A331" s="209">
        <v>335</v>
      </c>
      <c r="B331" s="379" t="s">
        <v>26</v>
      </c>
      <c r="C331" s="380" t="s">
        <v>1931</v>
      </c>
      <c r="E331" s="279" t="s">
        <v>20</v>
      </c>
      <c r="F331" s="437" t="s">
        <v>1987</v>
      </c>
      <c r="H331" s="437" t="s">
        <v>1964</v>
      </c>
      <c r="J331" s="430" t="s">
        <v>16</v>
      </c>
      <c r="K331" s="11" t="e">
        <f>K330/K329</f>
        <v>#DIV/0!</v>
      </c>
      <c r="L331" s="11" t="e">
        <f t="shared" ref="L331:W331" si="119">L330/L329</f>
        <v>#DIV/0!</v>
      </c>
      <c r="M331" s="11" t="e">
        <f t="shared" si="119"/>
        <v>#DIV/0!</v>
      </c>
      <c r="N331" s="11" t="e">
        <f t="shared" si="119"/>
        <v>#DIV/0!</v>
      </c>
      <c r="O331" s="11" t="e">
        <f t="shared" si="119"/>
        <v>#DIV/0!</v>
      </c>
      <c r="P331" s="11" t="e">
        <f t="shared" si="119"/>
        <v>#DIV/0!</v>
      </c>
      <c r="Q331" s="11" t="e">
        <f t="shared" si="119"/>
        <v>#DIV/0!</v>
      </c>
      <c r="R331" s="11" t="e">
        <f t="shared" si="119"/>
        <v>#DIV/0!</v>
      </c>
      <c r="S331" s="11" t="e">
        <f t="shared" si="119"/>
        <v>#DIV/0!</v>
      </c>
      <c r="T331" s="11" t="e">
        <f t="shared" si="119"/>
        <v>#DIV/0!</v>
      </c>
      <c r="U331" s="11" t="e">
        <f t="shared" si="119"/>
        <v>#DIV/0!</v>
      </c>
      <c r="V331" s="438" t="e">
        <f t="shared" si="119"/>
        <v>#DIV/0!</v>
      </c>
      <c r="W331" s="439" t="e">
        <f t="shared" si="119"/>
        <v>#DIV/0!</v>
      </c>
      <c r="X331" s="7" t="e">
        <f t="shared" si="107"/>
        <v>#DIV/0!</v>
      </c>
      <c r="Y331" s="251" t="s">
        <v>1965</v>
      </c>
      <c r="Z331" s="10"/>
      <c r="AB331">
        <v>2</v>
      </c>
    </row>
    <row r="332" spans="1:32" ht="15.75" hidden="1" customHeight="1" thickBot="1">
      <c r="A332" s="209">
        <v>336</v>
      </c>
      <c r="B332" s="379" t="s">
        <v>26</v>
      </c>
      <c r="C332" s="380" t="s">
        <v>1931</v>
      </c>
      <c r="E332" s="279" t="s">
        <v>20</v>
      </c>
      <c r="F332" s="277" t="s">
        <v>20</v>
      </c>
      <c r="J332" s="375" t="s">
        <v>10</v>
      </c>
      <c r="K332" s="376">
        <f t="shared" ref="K332:V332" si="120">$W$332/12</f>
        <v>0</v>
      </c>
      <c r="L332" s="376">
        <f t="shared" si="120"/>
        <v>0</v>
      </c>
      <c r="M332" s="376">
        <f t="shared" si="120"/>
        <v>0</v>
      </c>
      <c r="N332" s="376">
        <f t="shared" si="120"/>
        <v>0</v>
      </c>
      <c r="O332" s="376">
        <f t="shared" si="120"/>
        <v>0</v>
      </c>
      <c r="P332" s="376">
        <f t="shared" si="120"/>
        <v>0</v>
      </c>
      <c r="Q332" s="376">
        <f t="shared" si="120"/>
        <v>0</v>
      </c>
      <c r="R332" s="376">
        <f t="shared" si="120"/>
        <v>0</v>
      </c>
      <c r="S332" s="376">
        <f t="shared" si="120"/>
        <v>0</v>
      </c>
      <c r="T332" s="376">
        <f t="shared" si="120"/>
        <v>0</v>
      </c>
      <c r="U332" s="376">
        <f t="shared" si="120"/>
        <v>0</v>
      </c>
      <c r="V332" s="377">
        <f t="shared" si="120"/>
        <v>0</v>
      </c>
      <c r="W332" s="429"/>
      <c r="X332" s="205">
        <f t="shared" si="107"/>
        <v>0</v>
      </c>
      <c r="Y332" s="251" t="s">
        <v>1965</v>
      </c>
      <c r="Z332" s="10"/>
      <c r="AB332">
        <v>1</v>
      </c>
    </row>
    <row r="333" spans="1:32" ht="15.75" hidden="1" customHeight="1" thickBot="1">
      <c r="A333" s="193">
        <v>337</v>
      </c>
      <c r="B333" s="379" t="s">
        <v>26</v>
      </c>
      <c r="C333" s="380" t="s">
        <v>1931</v>
      </c>
      <c r="E333" s="279" t="s">
        <v>20</v>
      </c>
      <c r="F333" s="277" t="s">
        <v>20</v>
      </c>
      <c r="J333" s="383" t="s">
        <v>14</v>
      </c>
      <c r="K333" s="384">
        <f t="shared" ref="K333:V333" si="121">$W$333/12</f>
        <v>0</v>
      </c>
      <c r="L333" s="384">
        <f t="shared" si="121"/>
        <v>0</v>
      </c>
      <c r="M333" s="384">
        <f t="shared" si="121"/>
        <v>0</v>
      </c>
      <c r="N333" s="384">
        <f t="shared" si="121"/>
        <v>0</v>
      </c>
      <c r="O333" s="384">
        <f t="shared" si="121"/>
        <v>0</v>
      </c>
      <c r="P333" s="384">
        <f t="shared" si="121"/>
        <v>0</v>
      </c>
      <c r="Q333" s="384">
        <f t="shared" si="121"/>
        <v>0</v>
      </c>
      <c r="R333" s="384">
        <f t="shared" si="121"/>
        <v>0</v>
      </c>
      <c r="S333" s="384">
        <f t="shared" si="121"/>
        <v>0</v>
      </c>
      <c r="T333" s="384">
        <f t="shared" si="121"/>
        <v>0</v>
      </c>
      <c r="U333" s="384">
        <f t="shared" si="121"/>
        <v>0</v>
      </c>
      <c r="V333" s="385">
        <f t="shared" si="121"/>
        <v>0</v>
      </c>
      <c r="W333" s="400"/>
      <c r="X333" s="205">
        <f t="shared" si="107"/>
        <v>0</v>
      </c>
      <c r="Y333" s="251" t="s">
        <v>1965</v>
      </c>
      <c r="Z333" s="10"/>
      <c r="AB333">
        <v>1</v>
      </c>
    </row>
    <row r="334" spans="1:32" ht="15.75" hidden="1" customHeight="1" thickBot="1">
      <c r="A334" s="209">
        <v>338</v>
      </c>
      <c r="B334" s="379" t="s">
        <v>26</v>
      </c>
      <c r="C334" s="380" t="s">
        <v>1931</v>
      </c>
      <c r="E334" s="279" t="s">
        <v>20</v>
      </c>
      <c r="F334" s="277" t="s">
        <v>20</v>
      </c>
      <c r="J334" s="430" t="s">
        <v>16</v>
      </c>
      <c r="K334" s="409" t="e">
        <f>K333/K332</f>
        <v>#DIV/0!</v>
      </c>
      <c r="L334" s="409" t="e">
        <f t="shared" ref="L334:W334" si="122">L333/L332</f>
        <v>#DIV/0!</v>
      </c>
      <c r="M334" s="409" t="e">
        <f t="shared" si="122"/>
        <v>#DIV/0!</v>
      </c>
      <c r="N334" s="409" t="e">
        <f t="shared" si="122"/>
        <v>#DIV/0!</v>
      </c>
      <c r="O334" s="409" t="e">
        <f t="shared" si="122"/>
        <v>#DIV/0!</v>
      </c>
      <c r="P334" s="409" t="e">
        <f t="shared" si="122"/>
        <v>#DIV/0!</v>
      </c>
      <c r="Q334" s="409" t="e">
        <f t="shared" si="122"/>
        <v>#DIV/0!</v>
      </c>
      <c r="R334" s="409" t="e">
        <f t="shared" si="122"/>
        <v>#DIV/0!</v>
      </c>
      <c r="S334" s="409" t="e">
        <f t="shared" si="122"/>
        <v>#DIV/0!</v>
      </c>
      <c r="T334" s="409" t="e">
        <f t="shared" si="122"/>
        <v>#DIV/0!</v>
      </c>
      <c r="U334" s="409" t="e">
        <f t="shared" si="122"/>
        <v>#DIV/0!</v>
      </c>
      <c r="V334" s="410" t="e">
        <f t="shared" si="122"/>
        <v>#DIV/0!</v>
      </c>
      <c r="W334" s="411" t="e">
        <f t="shared" si="122"/>
        <v>#DIV/0!</v>
      </c>
      <c r="X334" s="412" t="e">
        <f t="shared" si="107"/>
        <v>#DIV/0!</v>
      </c>
      <c r="Y334" s="251" t="s">
        <v>1965</v>
      </c>
      <c r="Z334" s="10"/>
      <c r="AB334">
        <v>2</v>
      </c>
    </row>
    <row r="335" spans="1:32" ht="15.75" hidden="1" customHeight="1" thickBot="1">
      <c r="A335" s="209">
        <v>339</v>
      </c>
      <c r="B335" s="379" t="s">
        <v>26</v>
      </c>
      <c r="C335" s="380" t="s">
        <v>1943</v>
      </c>
      <c r="D335" s="380" t="s">
        <v>1943</v>
      </c>
      <c r="E335" s="381" t="s">
        <v>1936</v>
      </c>
      <c r="F335" s="380" t="s">
        <v>1944</v>
      </c>
      <c r="G335" s="382" t="s">
        <v>1980</v>
      </c>
      <c r="H335" s="372" t="s">
        <v>1967</v>
      </c>
      <c r="I335" s="381"/>
      <c r="J335" s="383" t="s">
        <v>10</v>
      </c>
      <c r="K335" s="384">
        <f t="shared" ref="K335:V335" si="123">$W$335/12</f>
        <v>0</v>
      </c>
      <c r="L335" s="384">
        <f t="shared" si="123"/>
        <v>0</v>
      </c>
      <c r="M335" s="384">
        <f t="shared" si="123"/>
        <v>0</v>
      </c>
      <c r="N335" s="384">
        <f t="shared" si="123"/>
        <v>0</v>
      </c>
      <c r="O335" s="384">
        <f t="shared" si="123"/>
        <v>0</v>
      </c>
      <c r="P335" s="384">
        <f t="shared" si="123"/>
        <v>0</v>
      </c>
      <c r="Q335" s="384">
        <f t="shared" si="123"/>
        <v>0</v>
      </c>
      <c r="R335" s="384">
        <f t="shared" si="123"/>
        <v>0</v>
      </c>
      <c r="S335" s="384">
        <f t="shared" si="123"/>
        <v>0</v>
      </c>
      <c r="T335" s="384">
        <f t="shared" si="123"/>
        <v>0</v>
      </c>
      <c r="U335" s="384">
        <f t="shared" si="123"/>
        <v>0</v>
      </c>
      <c r="V335" s="385">
        <f t="shared" si="123"/>
        <v>0</v>
      </c>
      <c r="W335" s="400"/>
      <c r="X335" s="205">
        <f t="shared" si="107"/>
        <v>0</v>
      </c>
      <c r="Y335" s="251" t="s">
        <v>1965</v>
      </c>
      <c r="Z335" s="10"/>
      <c r="AB335">
        <v>1</v>
      </c>
    </row>
    <row r="336" spans="1:32" ht="15.75" hidden="1" customHeight="1" thickBot="1">
      <c r="A336" s="209">
        <v>340</v>
      </c>
      <c r="B336" s="379" t="s">
        <v>26</v>
      </c>
      <c r="C336" s="380" t="s">
        <v>1943</v>
      </c>
      <c r="D336" s="380" t="s">
        <v>1943</v>
      </c>
      <c r="E336" s="381" t="s">
        <v>1936</v>
      </c>
      <c r="F336" s="380" t="s">
        <v>1944</v>
      </c>
      <c r="G336" s="382" t="s">
        <v>1980</v>
      </c>
      <c r="H336" s="372" t="s">
        <v>1967</v>
      </c>
      <c r="I336" s="381"/>
      <c r="J336" s="383" t="s">
        <v>14</v>
      </c>
      <c r="K336" s="384">
        <f t="shared" ref="K336:V336" si="124">$W$336/12</f>
        <v>0</v>
      </c>
      <c r="L336" s="384">
        <f t="shared" si="124"/>
        <v>0</v>
      </c>
      <c r="M336" s="384">
        <f t="shared" si="124"/>
        <v>0</v>
      </c>
      <c r="N336" s="384">
        <f t="shared" si="124"/>
        <v>0</v>
      </c>
      <c r="O336" s="384">
        <f t="shared" si="124"/>
        <v>0</v>
      </c>
      <c r="P336" s="384">
        <f t="shared" si="124"/>
        <v>0</v>
      </c>
      <c r="Q336" s="384">
        <f t="shared" si="124"/>
        <v>0</v>
      </c>
      <c r="R336" s="384">
        <f t="shared" si="124"/>
        <v>0</v>
      </c>
      <c r="S336" s="384">
        <f t="shared" si="124"/>
        <v>0</v>
      </c>
      <c r="T336" s="384">
        <f t="shared" si="124"/>
        <v>0</v>
      </c>
      <c r="U336" s="384">
        <f t="shared" si="124"/>
        <v>0</v>
      </c>
      <c r="V336" s="385">
        <f t="shared" si="124"/>
        <v>0</v>
      </c>
      <c r="W336" s="400"/>
      <c r="X336" s="205">
        <f t="shared" si="107"/>
        <v>0</v>
      </c>
      <c r="Y336" s="251" t="s">
        <v>1965</v>
      </c>
      <c r="Z336" s="10"/>
      <c r="AB336">
        <v>1</v>
      </c>
    </row>
    <row r="337" spans="1:32" ht="15.75" hidden="1" customHeight="1" thickBot="1">
      <c r="A337" s="193">
        <v>341</v>
      </c>
      <c r="B337" s="379" t="s">
        <v>26</v>
      </c>
      <c r="C337" s="380" t="s">
        <v>1943</v>
      </c>
      <c r="D337" s="380" t="s">
        <v>1943</v>
      </c>
      <c r="E337" s="381" t="s">
        <v>1936</v>
      </c>
      <c r="F337" s="380" t="s">
        <v>1944</v>
      </c>
      <c r="G337" s="382" t="s">
        <v>1980</v>
      </c>
      <c r="H337" s="372" t="s">
        <v>1967</v>
      </c>
      <c r="I337" s="381"/>
      <c r="J337" s="393" t="s">
        <v>16</v>
      </c>
      <c r="K337" s="440"/>
      <c r="L337" s="440"/>
      <c r="M337" s="440"/>
      <c r="N337" s="440"/>
      <c r="O337" s="440"/>
      <c r="P337" s="440"/>
      <c r="Q337" s="440"/>
      <c r="R337" s="440"/>
      <c r="S337" s="440"/>
      <c r="T337" s="440"/>
      <c r="U337" s="440"/>
      <c r="V337" s="441"/>
      <c r="W337" s="442"/>
      <c r="X337" s="388">
        <f t="shared" si="107"/>
        <v>0</v>
      </c>
      <c r="Y337" s="251" t="s">
        <v>1965</v>
      </c>
      <c r="Z337" s="10"/>
      <c r="AB337">
        <v>2</v>
      </c>
    </row>
    <row r="338" spans="1:32" ht="15.75" hidden="1" customHeight="1" thickBot="1">
      <c r="A338" s="209">
        <v>342</v>
      </c>
      <c r="B338" s="371" t="s">
        <v>26</v>
      </c>
      <c r="C338" s="372" t="s">
        <v>1948</v>
      </c>
      <c r="D338" s="372"/>
      <c r="E338" s="373" t="s">
        <v>21</v>
      </c>
      <c r="F338" s="372" t="s">
        <v>1979</v>
      </c>
      <c r="G338" s="374" t="s">
        <v>1980</v>
      </c>
      <c r="H338" s="437" t="s">
        <v>1967</v>
      </c>
      <c r="J338" s="375" t="s">
        <v>10</v>
      </c>
      <c r="K338" s="376">
        <f t="shared" ref="K338:V338" si="125">$W$338/12</f>
        <v>0</v>
      </c>
      <c r="L338" s="376">
        <f t="shared" si="125"/>
        <v>0</v>
      </c>
      <c r="M338" s="376">
        <f t="shared" si="125"/>
        <v>0</v>
      </c>
      <c r="N338" s="376">
        <f t="shared" si="125"/>
        <v>0</v>
      </c>
      <c r="O338" s="376">
        <f t="shared" si="125"/>
        <v>0</v>
      </c>
      <c r="P338" s="376">
        <f t="shared" si="125"/>
        <v>0</v>
      </c>
      <c r="Q338" s="376">
        <f t="shared" si="125"/>
        <v>0</v>
      </c>
      <c r="R338" s="376">
        <f t="shared" si="125"/>
        <v>0</v>
      </c>
      <c r="S338" s="376">
        <f t="shared" si="125"/>
        <v>0</v>
      </c>
      <c r="T338" s="376">
        <f t="shared" si="125"/>
        <v>0</v>
      </c>
      <c r="U338" s="376">
        <f t="shared" si="125"/>
        <v>0</v>
      </c>
      <c r="V338" s="377">
        <f t="shared" si="125"/>
        <v>0</v>
      </c>
      <c r="W338" s="429"/>
      <c r="X338" s="205">
        <f t="shared" si="107"/>
        <v>0</v>
      </c>
      <c r="Y338" s="251" t="s">
        <v>1965</v>
      </c>
      <c r="Z338" s="10">
        <v>1</v>
      </c>
      <c r="AB338">
        <v>1</v>
      </c>
    </row>
    <row r="339" spans="1:32" ht="15.75" hidden="1" customHeight="1" thickBot="1">
      <c r="A339" s="209">
        <v>343</v>
      </c>
      <c r="B339" s="379" t="s">
        <v>26</v>
      </c>
      <c r="C339" s="380" t="s">
        <v>1948</v>
      </c>
      <c r="D339" s="380"/>
      <c r="E339" s="381" t="s">
        <v>21</v>
      </c>
      <c r="F339" s="380" t="s">
        <v>1979</v>
      </c>
      <c r="G339" s="382" t="s">
        <v>1980</v>
      </c>
      <c r="H339" s="437" t="s">
        <v>1967</v>
      </c>
      <c r="J339" s="383" t="s">
        <v>14</v>
      </c>
      <c r="K339" s="384">
        <f t="shared" ref="K339:V339" si="126">$W$339/12</f>
        <v>0</v>
      </c>
      <c r="L339" s="384">
        <f t="shared" si="126"/>
        <v>0</v>
      </c>
      <c r="M339" s="384">
        <f t="shared" si="126"/>
        <v>0</v>
      </c>
      <c r="N339" s="384">
        <f t="shared" si="126"/>
        <v>0</v>
      </c>
      <c r="O339" s="384">
        <f t="shared" si="126"/>
        <v>0</v>
      </c>
      <c r="P339" s="384">
        <f t="shared" si="126"/>
        <v>0</v>
      </c>
      <c r="Q339" s="384">
        <f t="shared" si="126"/>
        <v>0</v>
      </c>
      <c r="R339" s="384">
        <f t="shared" si="126"/>
        <v>0</v>
      </c>
      <c r="S339" s="384">
        <f t="shared" si="126"/>
        <v>0</v>
      </c>
      <c r="T339" s="384">
        <f t="shared" si="126"/>
        <v>0</v>
      </c>
      <c r="U339" s="384">
        <f t="shared" si="126"/>
        <v>0</v>
      </c>
      <c r="V339" s="385">
        <f t="shared" si="126"/>
        <v>0</v>
      </c>
      <c r="W339" s="400"/>
      <c r="X339" s="205">
        <f t="shared" si="107"/>
        <v>0</v>
      </c>
      <c r="Y339" s="251" t="s">
        <v>1965</v>
      </c>
      <c r="Z339" s="10">
        <v>1</v>
      </c>
      <c r="AB339">
        <v>1</v>
      </c>
    </row>
    <row r="340" spans="1:32" ht="15.75" hidden="1" customHeight="1" thickBot="1">
      <c r="A340" s="209">
        <v>344</v>
      </c>
      <c r="B340" s="389" t="s">
        <v>26</v>
      </c>
      <c r="C340" s="390" t="s">
        <v>1948</v>
      </c>
      <c r="D340" s="390"/>
      <c r="E340" s="391" t="s">
        <v>21</v>
      </c>
      <c r="F340" s="390" t="s">
        <v>1979</v>
      </c>
      <c r="G340" s="392" t="s">
        <v>1980</v>
      </c>
      <c r="H340" s="437" t="s">
        <v>1967</v>
      </c>
      <c r="J340" s="430" t="s">
        <v>16</v>
      </c>
      <c r="K340" s="409">
        <f>K338</f>
        <v>0</v>
      </c>
      <c r="L340" s="409">
        <f t="shared" ref="L340:W340" si="127">L338</f>
        <v>0</v>
      </c>
      <c r="M340" s="409">
        <f t="shared" si="127"/>
        <v>0</v>
      </c>
      <c r="N340" s="409">
        <f t="shared" si="127"/>
        <v>0</v>
      </c>
      <c r="O340" s="409">
        <f t="shared" si="127"/>
        <v>0</v>
      </c>
      <c r="P340" s="409">
        <f t="shared" si="127"/>
        <v>0</v>
      </c>
      <c r="Q340" s="409">
        <f t="shared" si="127"/>
        <v>0</v>
      </c>
      <c r="R340" s="409">
        <f t="shared" si="127"/>
        <v>0</v>
      </c>
      <c r="S340" s="409">
        <f t="shared" si="127"/>
        <v>0</v>
      </c>
      <c r="T340" s="409">
        <f t="shared" si="127"/>
        <v>0</v>
      </c>
      <c r="U340" s="409">
        <f t="shared" si="127"/>
        <v>0</v>
      </c>
      <c r="V340" s="410">
        <f t="shared" si="127"/>
        <v>0</v>
      </c>
      <c r="W340" s="411">
        <f t="shared" si="127"/>
        <v>0</v>
      </c>
      <c r="X340" s="324">
        <f t="shared" si="107"/>
        <v>0</v>
      </c>
      <c r="Y340" s="251" t="s">
        <v>1965</v>
      </c>
      <c r="Z340" s="10">
        <v>1</v>
      </c>
      <c r="AB340">
        <v>2</v>
      </c>
    </row>
    <row r="341" spans="1:32" ht="15.75" hidden="1" customHeight="1" thickBot="1">
      <c r="A341" s="209">
        <v>345</v>
      </c>
      <c r="B341" s="379" t="s">
        <v>26</v>
      </c>
      <c r="C341" s="380" t="s">
        <v>1955</v>
      </c>
      <c r="D341" s="443"/>
      <c r="E341" s="279" t="s">
        <v>20</v>
      </c>
      <c r="F341" s="277" t="s">
        <v>20</v>
      </c>
      <c r="G341" s="382" t="s">
        <v>1970</v>
      </c>
      <c r="H341" s="380" t="s">
        <v>1964</v>
      </c>
      <c r="J341" s="375" t="s">
        <v>10</v>
      </c>
      <c r="K341" s="444">
        <f>$W341/$AF341</f>
        <v>7667.916666666667</v>
      </c>
      <c r="L341" s="444">
        <f t="shared" ref="L341:V342" si="128">$W341/$AF341</f>
        <v>7667.916666666667</v>
      </c>
      <c r="M341" s="444">
        <f t="shared" si="128"/>
        <v>7667.916666666667</v>
      </c>
      <c r="N341" s="444">
        <f t="shared" si="128"/>
        <v>7667.916666666667</v>
      </c>
      <c r="O341" s="444">
        <f t="shared" si="128"/>
        <v>7667.916666666667</v>
      </c>
      <c r="P341" s="444">
        <f t="shared" si="128"/>
        <v>7667.916666666667</v>
      </c>
      <c r="Q341" s="444">
        <f t="shared" si="128"/>
        <v>7667.916666666667</v>
      </c>
      <c r="R341" s="444">
        <f t="shared" si="128"/>
        <v>7667.916666666667</v>
      </c>
      <c r="S341" s="444">
        <f t="shared" si="128"/>
        <v>7667.916666666667</v>
      </c>
      <c r="T341" s="444">
        <f t="shared" si="128"/>
        <v>7667.916666666667</v>
      </c>
      <c r="U341" s="444">
        <f t="shared" si="128"/>
        <v>7667.916666666667</v>
      </c>
      <c r="V341" s="444">
        <f t="shared" si="128"/>
        <v>7667.916666666667</v>
      </c>
      <c r="W341" s="444">
        <v>92015</v>
      </c>
      <c r="X341" s="205">
        <f t="shared" si="107"/>
        <v>46007.5</v>
      </c>
      <c r="Y341" s="251"/>
      <c r="Z341" s="10"/>
      <c r="AB341">
        <v>1</v>
      </c>
      <c r="AF341">
        <v>12</v>
      </c>
    </row>
    <row r="342" spans="1:32" ht="15.75" hidden="1" customHeight="1" thickBot="1">
      <c r="A342" s="209">
        <v>346</v>
      </c>
      <c r="B342" s="379" t="s">
        <v>26</v>
      </c>
      <c r="C342" s="380" t="s">
        <v>1955</v>
      </c>
      <c r="D342" s="443"/>
      <c r="E342" s="279" t="s">
        <v>20</v>
      </c>
      <c r="F342" s="277" t="s">
        <v>20</v>
      </c>
      <c r="G342" s="382" t="s">
        <v>1970</v>
      </c>
      <c r="H342" s="380" t="s">
        <v>1964</v>
      </c>
      <c r="J342" s="383" t="s">
        <v>14</v>
      </c>
      <c r="K342" s="444">
        <f>$W342/$AF342</f>
        <v>153358.33333333334</v>
      </c>
      <c r="L342" s="444">
        <f t="shared" si="128"/>
        <v>153358.33333333334</v>
      </c>
      <c r="M342" s="444">
        <f t="shared" si="128"/>
        <v>153358.33333333334</v>
      </c>
      <c r="N342" s="444">
        <f t="shared" si="128"/>
        <v>153358.33333333334</v>
      </c>
      <c r="O342" s="444">
        <f t="shared" si="128"/>
        <v>153358.33333333334</v>
      </c>
      <c r="P342" s="444">
        <f t="shared" si="128"/>
        <v>153358.33333333334</v>
      </c>
      <c r="Q342" s="444">
        <f t="shared" si="128"/>
        <v>153358.33333333334</v>
      </c>
      <c r="R342" s="444">
        <f t="shared" si="128"/>
        <v>153358.33333333334</v>
      </c>
      <c r="S342" s="444">
        <f t="shared" si="128"/>
        <v>153358.33333333334</v>
      </c>
      <c r="T342" s="444">
        <f t="shared" si="128"/>
        <v>153358.33333333334</v>
      </c>
      <c r="U342" s="444">
        <f t="shared" si="128"/>
        <v>153358.33333333334</v>
      </c>
      <c r="V342" s="444">
        <f t="shared" si="128"/>
        <v>153358.33333333334</v>
      </c>
      <c r="W342" s="444">
        <f>W341*W343</f>
        <v>1840300</v>
      </c>
      <c r="X342" s="205">
        <f t="shared" si="107"/>
        <v>920150.00000000012</v>
      </c>
      <c r="Y342" s="251"/>
      <c r="Z342" s="10"/>
      <c r="AB342">
        <v>1</v>
      </c>
      <c r="AF342">
        <v>12</v>
      </c>
    </row>
    <row r="343" spans="1:32" ht="15.75" hidden="1" customHeight="1" thickBot="1">
      <c r="A343" s="209">
        <v>347</v>
      </c>
      <c r="B343" s="379" t="s">
        <v>26</v>
      </c>
      <c r="C343" s="380" t="s">
        <v>1955</v>
      </c>
      <c r="D343" s="443"/>
      <c r="E343" s="279" t="s">
        <v>20</v>
      </c>
      <c r="F343" s="277" t="s">
        <v>20</v>
      </c>
      <c r="G343" s="382" t="s">
        <v>1970</v>
      </c>
      <c r="H343" s="380" t="s">
        <v>1964</v>
      </c>
      <c r="J343" s="430" t="s">
        <v>16</v>
      </c>
      <c r="K343" s="394">
        <f>K342/K341</f>
        <v>20</v>
      </c>
      <c r="L343" s="394">
        <f t="shared" ref="L343:V343" si="129">L342/L341</f>
        <v>20</v>
      </c>
      <c r="M343" s="394">
        <f t="shared" si="129"/>
        <v>20</v>
      </c>
      <c r="N343" s="394">
        <f t="shared" si="129"/>
        <v>20</v>
      </c>
      <c r="O343" s="394">
        <f t="shared" si="129"/>
        <v>20</v>
      </c>
      <c r="P343" s="394">
        <f t="shared" si="129"/>
        <v>20</v>
      </c>
      <c r="Q343" s="394">
        <f t="shared" si="129"/>
        <v>20</v>
      </c>
      <c r="R343" s="394">
        <f t="shared" si="129"/>
        <v>20</v>
      </c>
      <c r="S343" s="394">
        <f t="shared" si="129"/>
        <v>20</v>
      </c>
      <c r="T343" s="394">
        <f t="shared" si="129"/>
        <v>20</v>
      </c>
      <c r="U343" s="394">
        <f t="shared" si="129"/>
        <v>20</v>
      </c>
      <c r="V343" s="394">
        <f t="shared" si="129"/>
        <v>20</v>
      </c>
      <c r="W343" s="444">
        <v>20</v>
      </c>
      <c r="X343" s="444">
        <f t="shared" si="107"/>
        <v>120</v>
      </c>
      <c r="Y343" s="251"/>
      <c r="Z343" s="10"/>
      <c r="AB343">
        <v>2</v>
      </c>
      <c r="AF343">
        <v>12</v>
      </c>
    </row>
    <row r="344" spans="1:32" ht="14.45" hidden="1" customHeight="1" thickBot="1">
      <c r="A344" s="445"/>
      <c r="B344" s="446" t="s">
        <v>27</v>
      </c>
      <c r="C344" s="447" t="s">
        <v>1931</v>
      </c>
      <c r="D344" s="445"/>
      <c r="E344" s="448" t="s">
        <v>21</v>
      </c>
      <c r="F344" s="445"/>
      <c r="G344" s="445"/>
      <c r="H344" s="445"/>
      <c r="I344" s="445"/>
      <c r="J344" s="449" t="s">
        <v>10</v>
      </c>
      <c r="K344" s="445"/>
      <c r="L344" s="445"/>
      <c r="M344" s="445"/>
      <c r="N344" s="445"/>
      <c r="O344" s="445"/>
      <c r="P344" s="445"/>
      <c r="Q344" s="445"/>
      <c r="R344" s="445"/>
      <c r="S344" s="445"/>
      <c r="T344" s="445"/>
      <c r="U344" s="445"/>
      <c r="V344" s="445"/>
      <c r="W344" s="450">
        <f>[3]BDD!E2</f>
        <v>905.01469178541095</v>
      </c>
      <c r="Y344" s="251" t="s">
        <v>1965</v>
      </c>
    </row>
    <row r="345" spans="1:32" ht="14.45" hidden="1" customHeight="1" thickBot="1">
      <c r="A345" s="445"/>
      <c r="B345" s="446" t="s">
        <v>27</v>
      </c>
      <c r="C345" s="447" t="s">
        <v>1931</v>
      </c>
      <c r="D345" s="445"/>
      <c r="E345" s="448" t="s">
        <v>21</v>
      </c>
      <c r="F345" s="445"/>
      <c r="G345" s="445"/>
      <c r="H345" s="445"/>
      <c r="I345" s="445"/>
      <c r="J345" s="452" t="s">
        <v>14</v>
      </c>
      <c r="K345" s="445"/>
      <c r="L345" s="445"/>
      <c r="M345" s="445"/>
      <c r="N345" s="445"/>
      <c r="O345" s="445"/>
      <c r="P345" s="445"/>
      <c r="Q345" s="445"/>
      <c r="R345" s="445"/>
      <c r="S345" s="445"/>
      <c r="T345" s="445"/>
      <c r="U345" s="445"/>
      <c r="V345" s="445"/>
      <c r="W345" s="450">
        <f>[3]BDD!E3</f>
        <v>27817.029163279047</v>
      </c>
      <c r="Y345" s="251" t="s">
        <v>1965</v>
      </c>
    </row>
    <row r="346" spans="1:32" ht="14.45" hidden="1" customHeight="1" thickBot="1">
      <c r="A346" s="445"/>
      <c r="B346" s="446" t="s">
        <v>27</v>
      </c>
      <c r="C346" s="447" t="s">
        <v>1931</v>
      </c>
      <c r="D346" s="445"/>
      <c r="E346" s="448" t="s">
        <v>21</v>
      </c>
      <c r="F346" s="445"/>
      <c r="G346" s="445"/>
      <c r="H346" s="445"/>
      <c r="I346" s="445"/>
      <c r="J346" s="453" t="s">
        <v>16</v>
      </c>
      <c r="K346" s="445"/>
      <c r="L346" s="445"/>
      <c r="M346" s="445"/>
      <c r="N346" s="445"/>
      <c r="O346" s="445"/>
      <c r="P346" s="445"/>
      <c r="Q346" s="445"/>
      <c r="R346" s="445"/>
      <c r="S346" s="445"/>
      <c r="T346" s="445"/>
      <c r="U346" s="445"/>
      <c r="V346" s="445"/>
      <c r="W346" s="450">
        <f>[3]BDD!E4</f>
        <v>30.736549821530161</v>
      </c>
      <c r="Y346" s="251" t="s">
        <v>1965</v>
      </c>
    </row>
    <row r="347" spans="1:32" ht="14.45" hidden="1" customHeight="1" thickBot="1">
      <c r="A347" s="445"/>
      <c r="B347" s="446" t="s">
        <v>27</v>
      </c>
      <c r="C347" s="447" t="s">
        <v>1931</v>
      </c>
      <c r="D347" s="454"/>
      <c r="E347" s="455" t="s">
        <v>28</v>
      </c>
      <c r="F347" s="445"/>
      <c r="G347" s="445"/>
      <c r="H347" s="445"/>
      <c r="I347" s="445"/>
      <c r="J347" s="449" t="s">
        <v>10</v>
      </c>
      <c r="K347" s="445"/>
      <c r="L347" s="445"/>
      <c r="M347" s="445"/>
      <c r="N347" s="445"/>
      <c r="O347" s="445"/>
      <c r="P347" s="445"/>
      <c r="Q347" s="445"/>
      <c r="R347" s="445"/>
      <c r="S347" s="445"/>
      <c r="T347" s="445"/>
      <c r="U347" s="445"/>
      <c r="V347" s="445"/>
      <c r="W347" s="450">
        <f>[3]BDD!E5</f>
        <v>672.75395103216511</v>
      </c>
      <c r="Y347" s="251" t="s">
        <v>1965</v>
      </c>
    </row>
    <row r="348" spans="1:32" ht="14.45" hidden="1" customHeight="1" thickBot="1">
      <c r="A348" s="445"/>
      <c r="B348" s="446" t="s">
        <v>27</v>
      </c>
      <c r="C348" s="447" t="s">
        <v>1931</v>
      </c>
      <c r="D348" s="454"/>
      <c r="E348" s="455" t="s">
        <v>28</v>
      </c>
      <c r="F348" s="445"/>
      <c r="G348" s="445"/>
      <c r="H348" s="445"/>
      <c r="I348" s="445"/>
      <c r="J348" s="452" t="s">
        <v>14</v>
      </c>
      <c r="K348" s="445"/>
      <c r="L348" s="445"/>
      <c r="M348" s="445"/>
      <c r="N348" s="445"/>
      <c r="O348" s="445"/>
      <c r="P348" s="445"/>
      <c r="Q348" s="445"/>
      <c r="R348" s="445"/>
      <c r="S348" s="445"/>
      <c r="T348" s="445"/>
      <c r="U348" s="445"/>
      <c r="V348" s="445"/>
      <c r="W348" s="450">
        <f>[3]BDD!E6</f>
        <v>14658.77407115568</v>
      </c>
      <c r="Y348" s="251" t="s">
        <v>1965</v>
      </c>
    </row>
    <row r="349" spans="1:32" ht="14.45" hidden="1" customHeight="1" thickBot="1">
      <c r="A349" s="445"/>
      <c r="B349" s="446" t="s">
        <v>27</v>
      </c>
      <c r="C349" s="447" t="s">
        <v>1931</v>
      </c>
      <c r="D349" s="454"/>
      <c r="E349" s="455" t="s">
        <v>28</v>
      </c>
      <c r="F349" s="445"/>
      <c r="G349" s="445"/>
      <c r="H349" s="445"/>
      <c r="I349" s="445"/>
      <c r="J349" s="453" t="s">
        <v>16</v>
      </c>
      <c r="K349" s="445"/>
      <c r="L349" s="445"/>
      <c r="M349" s="445"/>
      <c r="N349" s="445"/>
      <c r="O349" s="445"/>
      <c r="P349" s="445"/>
      <c r="Q349" s="445"/>
      <c r="R349" s="445"/>
      <c r="S349" s="445"/>
      <c r="T349" s="445"/>
      <c r="U349" s="445"/>
      <c r="V349" s="445"/>
      <c r="W349" s="450">
        <f>[3]BDD!E7</f>
        <v>0</v>
      </c>
      <c r="Y349" s="251" t="s">
        <v>1965</v>
      </c>
    </row>
    <row r="350" spans="1:32" ht="14.45" hidden="1" customHeight="1" thickBot="1">
      <c r="A350" s="445"/>
      <c r="B350" s="446" t="s">
        <v>27</v>
      </c>
      <c r="C350" s="447" t="s">
        <v>1931</v>
      </c>
      <c r="D350" s="454"/>
      <c r="E350" s="455" t="s">
        <v>6</v>
      </c>
      <c r="F350" s="445"/>
      <c r="G350" s="445"/>
      <c r="H350" s="445"/>
      <c r="I350" s="445"/>
      <c r="J350" s="449" t="s">
        <v>10</v>
      </c>
      <c r="K350" s="445"/>
      <c r="L350" s="445"/>
      <c r="M350" s="445"/>
      <c r="N350" s="445"/>
      <c r="O350" s="445"/>
      <c r="P350" s="445"/>
      <c r="Q350" s="445"/>
      <c r="R350" s="445"/>
      <c r="S350" s="445"/>
      <c r="T350" s="445"/>
      <c r="U350" s="445"/>
      <c r="V350" s="445"/>
      <c r="W350" s="450">
        <f>[3]BDD!E8</f>
        <v>129.24311089774363</v>
      </c>
      <c r="Y350" s="251" t="s">
        <v>1965</v>
      </c>
    </row>
    <row r="351" spans="1:32" ht="14.45" hidden="1" customHeight="1" thickBot="1">
      <c r="A351" s="445"/>
      <c r="B351" s="446" t="s">
        <v>27</v>
      </c>
      <c r="C351" s="447" t="s">
        <v>1931</v>
      </c>
      <c r="D351" s="454"/>
      <c r="E351" s="455" t="s">
        <v>6</v>
      </c>
      <c r="F351" s="445"/>
      <c r="G351" s="445"/>
      <c r="H351" s="445"/>
      <c r="I351" s="445"/>
      <c r="J351" s="452" t="s">
        <v>14</v>
      </c>
      <c r="K351" s="445"/>
      <c r="L351" s="445"/>
      <c r="M351" s="445"/>
      <c r="N351" s="445"/>
      <c r="O351" s="445"/>
      <c r="P351" s="445"/>
      <c r="Q351" s="445"/>
      <c r="R351" s="445"/>
      <c r="S351" s="445"/>
      <c r="T351" s="445"/>
      <c r="U351" s="445"/>
      <c r="V351" s="445"/>
      <c r="W351" s="450">
        <f>[3]BDD!E9</f>
        <v>2806.2530820604889</v>
      </c>
      <c r="Y351" s="251" t="s">
        <v>1965</v>
      </c>
    </row>
    <row r="352" spans="1:32" ht="14.45" hidden="1" customHeight="1" thickBot="1">
      <c r="A352" s="445"/>
      <c r="B352" s="446" t="s">
        <v>27</v>
      </c>
      <c r="C352" s="447" t="s">
        <v>1931</v>
      </c>
      <c r="D352" s="454"/>
      <c r="E352" s="455" t="s">
        <v>6</v>
      </c>
      <c r="F352" s="445"/>
      <c r="G352" s="445"/>
      <c r="H352" s="445"/>
      <c r="I352" s="445"/>
      <c r="J352" s="453" t="s">
        <v>16</v>
      </c>
      <c r="K352" s="445"/>
      <c r="L352" s="445"/>
      <c r="M352" s="445"/>
      <c r="N352" s="445"/>
      <c r="O352" s="445"/>
      <c r="P352" s="445"/>
      <c r="Q352" s="445"/>
      <c r="R352" s="445"/>
      <c r="S352" s="445"/>
      <c r="T352" s="445"/>
      <c r="U352" s="445"/>
      <c r="V352" s="445"/>
      <c r="W352" s="450">
        <f>[3]BDD!E10</f>
        <v>0</v>
      </c>
      <c r="Y352" s="251" t="s">
        <v>1965</v>
      </c>
    </row>
    <row r="353" spans="1:25" ht="14.45" customHeight="1" thickBot="1">
      <c r="A353" s="445"/>
      <c r="B353" s="446" t="s">
        <v>27</v>
      </c>
      <c r="C353" s="447" t="s">
        <v>1931</v>
      </c>
      <c r="D353" s="454"/>
      <c r="E353" s="455" t="s">
        <v>17</v>
      </c>
      <c r="F353" s="445"/>
      <c r="G353" s="445"/>
      <c r="H353" s="445"/>
      <c r="I353" s="445"/>
      <c r="J353" s="449" t="s">
        <v>10</v>
      </c>
      <c r="K353" s="445"/>
      <c r="L353" s="445"/>
      <c r="M353" s="445"/>
      <c r="N353" s="445"/>
      <c r="O353" s="445"/>
      <c r="P353" s="445"/>
      <c r="Q353" s="445"/>
      <c r="R353" s="445"/>
      <c r="S353" s="445"/>
      <c r="T353" s="445"/>
      <c r="U353" s="445"/>
      <c r="V353" s="445"/>
      <c r="W353" s="450">
        <f>[3]BDD!E11</f>
        <v>750.40216994719151</v>
      </c>
      <c r="Y353" s="251" t="s">
        <v>1965</v>
      </c>
    </row>
    <row r="354" spans="1:25" ht="14.45" customHeight="1" thickBot="1">
      <c r="A354" s="445"/>
      <c r="B354" s="446" t="s">
        <v>27</v>
      </c>
      <c r="C354" s="447" t="s">
        <v>1931</v>
      </c>
      <c r="D354" s="454"/>
      <c r="E354" s="455" t="s">
        <v>17</v>
      </c>
      <c r="F354" s="445"/>
      <c r="G354" s="445"/>
      <c r="H354" s="445"/>
      <c r="I354" s="445"/>
      <c r="J354" s="452" t="s">
        <v>14</v>
      </c>
      <c r="K354" s="445"/>
      <c r="L354" s="445"/>
      <c r="M354" s="445"/>
      <c r="N354" s="445"/>
      <c r="O354" s="445"/>
      <c r="P354" s="445"/>
      <c r="Q354" s="445"/>
      <c r="R354" s="445"/>
      <c r="S354" s="445"/>
      <c r="T354" s="445"/>
      <c r="U354" s="445"/>
      <c r="V354" s="445"/>
      <c r="W354" s="450">
        <f>[3]BDD!E12</f>
        <v>10422.218214864364</v>
      </c>
      <c r="Y354" s="251" t="s">
        <v>1965</v>
      </c>
    </row>
    <row r="355" spans="1:25" ht="14.45" customHeight="1" thickBot="1">
      <c r="A355" s="445"/>
      <c r="B355" s="446" t="s">
        <v>27</v>
      </c>
      <c r="C355" s="447" t="s">
        <v>1931</v>
      </c>
      <c r="D355" s="454"/>
      <c r="E355" s="455" t="s">
        <v>17</v>
      </c>
      <c r="F355" s="445"/>
      <c r="G355" s="445"/>
      <c r="H355" s="445"/>
      <c r="I355" s="445"/>
      <c r="J355" s="453" t="s">
        <v>16</v>
      </c>
      <c r="K355" s="445"/>
      <c r="L355" s="445"/>
      <c r="M355" s="445"/>
      <c r="N355" s="445"/>
      <c r="O355" s="445"/>
      <c r="P355" s="445"/>
      <c r="Q355" s="445"/>
      <c r="R355" s="445"/>
      <c r="S355" s="445"/>
      <c r="T355" s="445"/>
      <c r="U355" s="445"/>
      <c r="V355" s="445"/>
      <c r="W355" s="450">
        <f>[3]BDD!E13</f>
        <v>0</v>
      </c>
      <c r="Y355" s="251" t="s">
        <v>1965</v>
      </c>
    </row>
    <row r="356" spans="1:25" ht="14.45" hidden="1" customHeight="1" thickBot="1">
      <c r="A356" s="445"/>
      <c r="B356" s="446" t="s">
        <v>27</v>
      </c>
      <c r="C356" s="447" t="s">
        <v>1931</v>
      </c>
      <c r="D356" s="454"/>
      <c r="E356" s="279" t="s">
        <v>20</v>
      </c>
      <c r="F356" s="445"/>
      <c r="G356" s="445"/>
      <c r="H356" s="445"/>
      <c r="I356" s="445"/>
      <c r="J356" s="449" t="s">
        <v>10</v>
      </c>
      <c r="K356" s="445"/>
      <c r="L356" s="445"/>
      <c r="M356" s="445"/>
      <c r="N356" s="445"/>
      <c r="O356" s="445"/>
      <c r="P356" s="445"/>
      <c r="Q356" s="445"/>
      <c r="R356" s="445"/>
      <c r="S356" s="445"/>
      <c r="T356" s="445"/>
      <c r="U356" s="445"/>
      <c r="V356" s="445"/>
      <c r="W356" s="450">
        <f>[3]BDD!E14</f>
        <v>204.76524243879018</v>
      </c>
      <c r="Y356" s="251" t="s">
        <v>1965</v>
      </c>
    </row>
    <row r="357" spans="1:25" ht="14.45" hidden="1" customHeight="1" thickBot="1">
      <c r="A357" s="445"/>
      <c r="B357" s="446" t="s">
        <v>27</v>
      </c>
      <c r="C357" s="447" t="s">
        <v>1931</v>
      </c>
      <c r="D357" s="456"/>
      <c r="E357" s="279" t="s">
        <v>20</v>
      </c>
      <c r="F357" s="445"/>
      <c r="G357" s="445"/>
      <c r="H357" s="445"/>
      <c r="I357" s="445"/>
      <c r="J357" s="452" t="s">
        <v>14</v>
      </c>
      <c r="K357" s="445"/>
      <c r="L357" s="445"/>
      <c r="M357" s="445"/>
      <c r="N357" s="445"/>
      <c r="O357" s="445"/>
      <c r="P357" s="445"/>
      <c r="Q357" s="445"/>
      <c r="R357" s="445"/>
      <c r="S357" s="445"/>
      <c r="T357" s="445"/>
      <c r="U357" s="445"/>
      <c r="V357" s="445"/>
      <c r="W357" s="450">
        <f>[3]BDD!E15</f>
        <v>4095.3048487758037</v>
      </c>
      <c r="Y357" s="251" t="s">
        <v>1965</v>
      </c>
    </row>
    <row r="358" spans="1:25" ht="14.45" hidden="1" customHeight="1" thickBot="1">
      <c r="A358" s="445"/>
      <c r="B358" s="446" t="s">
        <v>27</v>
      </c>
      <c r="C358" s="447" t="s">
        <v>1931</v>
      </c>
      <c r="D358" s="456"/>
      <c r="E358" s="279" t="s">
        <v>20</v>
      </c>
      <c r="F358" s="445"/>
      <c r="G358" s="445"/>
      <c r="H358" s="445"/>
      <c r="I358" s="445"/>
      <c r="J358" s="453" t="s">
        <v>16</v>
      </c>
      <c r="K358" s="445"/>
      <c r="L358" s="445"/>
      <c r="M358" s="445"/>
      <c r="N358" s="445"/>
      <c r="O358" s="445"/>
      <c r="P358" s="445"/>
      <c r="Q358" s="445"/>
      <c r="R358" s="445"/>
      <c r="S358" s="445"/>
      <c r="T358" s="445"/>
      <c r="U358" s="445"/>
      <c r="V358" s="445"/>
      <c r="W358" s="450">
        <f>[3]BDD!E16</f>
        <v>0</v>
      </c>
      <c r="Y358" s="251" t="s">
        <v>1965</v>
      </c>
    </row>
    <row r="359" spans="1:25" ht="14.45" hidden="1" customHeight="1" thickBot="1">
      <c r="A359" s="445"/>
      <c r="B359" s="446" t="s">
        <v>27</v>
      </c>
      <c r="C359" s="447" t="s">
        <v>1943</v>
      </c>
      <c r="D359" s="445"/>
      <c r="E359" s="448" t="s">
        <v>21</v>
      </c>
      <c r="F359" s="445"/>
      <c r="G359" s="445"/>
      <c r="H359" s="445"/>
      <c r="I359" s="445"/>
      <c r="J359" s="449" t="s">
        <v>10</v>
      </c>
      <c r="K359" s="445"/>
      <c r="L359" s="445"/>
      <c r="M359" s="445"/>
      <c r="N359" s="445"/>
      <c r="O359" s="445"/>
      <c r="P359" s="445"/>
      <c r="Q359" s="445"/>
      <c r="R359" s="445"/>
      <c r="S359" s="445"/>
      <c r="T359" s="445"/>
      <c r="U359" s="445"/>
      <c r="V359" s="445"/>
      <c r="W359" s="450">
        <f>[3]BDD!E17</f>
        <v>380.10316000000006</v>
      </c>
      <c r="Y359" s="251" t="s">
        <v>1965</v>
      </c>
    </row>
    <row r="360" spans="1:25" ht="14.45" hidden="1" customHeight="1" thickBot="1">
      <c r="A360" s="445"/>
      <c r="B360" s="446" t="s">
        <v>27</v>
      </c>
      <c r="C360" s="447" t="s">
        <v>1943</v>
      </c>
      <c r="D360" s="445"/>
      <c r="E360" s="448" t="s">
        <v>21</v>
      </c>
      <c r="F360" s="445"/>
      <c r="G360" s="445"/>
      <c r="H360" s="445"/>
      <c r="I360" s="445"/>
      <c r="J360" s="452" t="s">
        <v>14</v>
      </c>
      <c r="K360" s="445"/>
      <c r="L360" s="445"/>
      <c r="M360" s="445"/>
      <c r="N360" s="445"/>
      <c r="O360" s="445"/>
      <c r="P360" s="445"/>
      <c r="Q360" s="445"/>
      <c r="R360" s="445"/>
      <c r="S360" s="445"/>
      <c r="T360" s="445"/>
      <c r="U360" s="445"/>
      <c r="V360" s="445"/>
      <c r="W360" s="450">
        <f>[3]BDD!E18</f>
        <v>17033.904749692261</v>
      </c>
      <c r="Y360" s="251" t="s">
        <v>1965</v>
      </c>
    </row>
    <row r="361" spans="1:25" ht="14.45" hidden="1" customHeight="1" thickBot="1">
      <c r="A361" s="445"/>
      <c r="B361" s="446" t="s">
        <v>27</v>
      </c>
      <c r="C361" s="447" t="s">
        <v>1943</v>
      </c>
      <c r="D361" s="445"/>
      <c r="E361" s="448" t="s">
        <v>21</v>
      </c>
      <c r="F361" s="445"/>
      <c r="G361" s="445"/>
      <c r="H361" s="445"/>
      <c r="I361" s="445"/>
      <c r="J361" s="453" t="s">
        <v>16</v>
      </c>
      <c r="K361" s="445"/>
      <c r="L361" s="445"/>
      <c r="M361" s="445"/>
      <c r="N361" s="445"/>
      <c r="O361" s="445"/>
      <c r="P361" s="445"/>
      <c r="Q361" s="445"/>
      <c r="R361" s="445"/>
      <c r="S361" s="445"/>
      <c r="T361" s="445"/>
      <c r="U361" s="445"/>
      <c r="V361" s="445"/>
      <c r="W361" s="450">
        <f>[3]BDD!E19</f>
        <v>0</v>
      </c>
      <c r="Y361" s="251" t="s">
        <v>1965</v>
      </c>
    </row>
    <row r="362" spans="1:25" ht="14.45" hidden="1" customHeight="1" thickBot="1">
      <c r="A362" s="445"/>
      <c r="B362" s="446" t="s">
        <v>27</v>
      </c>
      <c r="C362" s="447" t="s">
        <v>1943</v>
      </c>
      <c r="D362" s="445"/>
      <c r="E362" s="455" t="s">
        <v>28</v>
      </c>
      <c r="F362" s="445"/>
      <c r="G362" s="445"/>
      <c r="H362" s="445"/>
      <c r="I362" s="445"/>
      <c r="J362" s="449" t="s">
        <v>10</v>
      </c>
      <c r="K362" s="445"/>
      <c r="L362" s="445"/>
      <c r="M362" s="445"/>
      <c r="N362" s="445"/>
      <c r="O362" s="445"/>
      <c r="P362" s="445"/>
      <c r="Q362" s="445"/>
      <c r="R362" s="445"/>
      <c r="S362" s="445"/>
      <c r="T362" s="445"/>
      <c r="U362" s="445"/>
      <c r="V362" s="445"/>
      <c r="W362" s="450">
        <f>[3]BDD!E20</f>
        <v>196.61799999999999</v>
      </c>
      <c r="Y362" s="251" t="s">
        <v>1965</v>
      </c>
    </row>
    <row r="363" spans="1:25" ht="14.45" hidden="1" customHeight="1" thickBot="1">
      <c r="A363" s="445"/>
      <c r="B363" s="446" t="s">
        <v>27</v>
      </c>
      <c r="C363" s="447" t="s">
        <v>1943</v>
      </c>
      <c r="D363" s="445"/>
      <c r="E363" s="455" t="s">
        <v>28</v>
      </c>
      <c r="F363" s="445"/>
      <c r="G363" s="445"/>
      <c r="H363" s="445"/>
      <c r="I363" s="445"/>
      <c r="J363" s="452" t="s">
        <v>14</v>
      </c>
      <c r="K363" s="445"/>
      <c r="L363" s="445"/>
      <c r="M363" s="445"/>
      <c r="N363" s="445"/>
      <c r="O363" s="445"/>
      <c r="P363" s="445"/>
      <c r="Q363" s="445"/>
      <c r="R363" s="445"/>
      <c r="S363" s="445"/>
      <c r="T363" s="445"/>
      <c r="U363" s="445"/>
      <c r="V363" s="445"/>
      <c r="W363" s="450">
        <f>[3]BDD!E21</f>
        <v>2949.2700000000004</v>
      </c>
      <c r="Y363" s="251" t="s">
        <v>1965</v>
      </c>
    </row>
    <row r="364" spans="1:25" ht="14.45" hidden="1" customHeight="1" thickBot="1">
      <c r="A364" s="445"/>
      <c r="B364" s="446" t="s">
        <v>27</v>
      </c>
      <c r="C364" s="447" t="s">
        <v>1943</v>
      </c>
      <c r="D364" s="445"/>
      <c r="E364" s="455" t="s">
        <v>28</v>
      </c>
      <c r="F364" s="445"/>
      <c r="G364" s="445"/>
      <c r="H364" s="445"/>
      <c r="I364" s="445"/>
      <c r="J364" s="453" t="s">
        <v>16</v>
      </c>
      <c r="K364" s="445"/>
      <c r="L364" s="445"/>
      <c r="M364" s="445"/>
      <c r="N364" s="445"/>
      <c r="O364" s="445"/>
      <c r="P364" s="445"/>
      <c r="Q364" s="445"/>
      <c r="R364" s="445"/>
      <c r="S364" s="445"/>
      <c r="T364" s="445"/>
      <c r="U364" s="445"/>
      <c r="V364" s="445"/>
      <c r="W364" s="450">
        <f>[3]BDD!E22</f>
        <v>0</v>
      </c>
      <c r="Y364" s="251" t="s">
        <v>1965</v>
      </c>
    </row>
    <row r="365" spans="1:25" ht="14.45" hidden="1" customHeight="1" thickBot="1">
      <c r="A365" s="445"/>
      <c r="B365" s="446" t="s">
        <v>27</v>
      </c>
      <c r="C365" s="447" t="s">
        <v>1943</v>
      </c>
      <c r="D365" s="445"/>
      <c r="E365" s="279" t="s">
        <v>20</v>
      </c>
      <c r="F365" s="445"/>
      <c r="G365" s="445"/>
      <c r="H365" s="445"/>
      <c r="I365" s="445"/>
      <c r="J365" s="449" t="s">
        <v>10</v>
      </c>
      <c r="K365" s="445"/>
      <c r="L365" s="445"/>
      <c r="M365" s="445"/>
      <c r="N365" s="445"/>
      <c r="O365" s="445"/>
      <c r="P365" s="445"/>
      <c r="Q365" s="445"/>
      <c r="R365" s="445"/>
      <c r="S365" s="445"/>
      <c r="T365" s="445"/>
      <c r="U365" s="445"/>
      <c r="V365" s="445"/>
      <c r="W365" s="450">
        <f>[3]BDD!E23</f>
        <v>0</v>
      </c>
      <c r="Y365" s="251" t="s">
        <v>1965</v>
      </c>
    </row>
    <row r="366" spans="1:25" ht="14.45" hidden="1" customHeight="1" thickBot="1">
      <c r="A366" s="445"/>
      <c r="B366" s="446" t="s">
        <v>27</v>
      </c>
      <c r="C366" s="447" t="s">
        <v>1943</v>
      </c>
      <c r="D366" s="445"/>
      <c r="E366" s="279" t="s">
        <v>20</v>
      </c>
      <c r="F366" s="445"/>
      <c r="G366" s="445"/>
      <c r="H366" s="445"/>
      <c r="I366" s="445"/>
      <c r="J366" s="452" t="s">
        <v>14</v>
      </c>
      <c r="K366" s="445"/>
      <c r="L366" s="445"/>
      <c r="M366" s="445"/>
      <c r="N366" s="445"/>
      <c r="O366" s="445"/>
      <c r="P366" s="445"/>
      <c r="Q366" s="445"/>
      <c r="R366" s="445"/>
      <c r="S366" s="445"/>
      <c r="T366" s="445"/>
      <c r="U366" s="445"/>
      <c r="V366" s="445"/>
      <c r="W366" s="450">
        <f>[3]BDD!E24</f>
        <v>0</v>
      </c>
      <c r="Y366" s="251" t="s">
        <v>1965</v>
      </c>
    </row>
    <row r="367" spans="1:25" ht="14.45" hidden="1" customHeight="1" thickBot="1">
      <c r="A367" s="445"/>
      <c r="B367" s="446" t="s">
        <v>27</v>
      </c>
      <c r="C367" s="447" t="s">
        <v>1943</v>
      </c>
      <c r="D367" s="445"/>
      <c r="E367" s="279" t="s">
        <v>20</v>
      </c>
      <c r="F367" s="445"/>
      <c r="G367" s="445"/>
      <c r="H367" s="445"/>
      <c r="I367" s="445"/>
      <c r="J367" s="453" t="s">
        <v>16</v>
      </c>
      <c r="K367" s="445"/>
      <c r="L367" s="445"/>
      <c r="M367" s="445"/>
      <c r="N367" s="445"/>
      <c r="O367" s="445"/>
      <c r="P367" s="445"/>
      <c r="Q367" s="445"/>
      <c r="R367" s="445"/>
      <c r="S367" s="445"/>
      <c r="T367" s="445"/>
      <c r="U367" s="445"/>
      <c r="V367" s="445"/>
      <c r="W367" s="450">
        <f>[3]BDD!E25</f>
        <v>0</v>
      </c>
      <c r="Y367" s="251" t="s">
        <v>1965</v>
      </c>
    </row>
    <row r="368" spans="1:25" ht="14.45" hidden="1" customHeight="1" thickBot="1">
      <c r="A368" s="445"/>
      <c r="B368" s="446" t="s">
        <v>27</v>
      </c>
      <c r="C368" s="447" t="s">
        <v>1955</v>
      </c>
      <c r="D368" s="445"/>
      <c r="E368" s="455" t="s">
        <v>21</v>
      </c>
      <c r="F368" s="445"/>
      <c r="G368" s="445"/>
      <c r="H368" s="445"/>
      <c r="I368" s="445"/>
      <c r="J368" s="449" t="s">
        <v>10</v>
      </c>
      <c r="K368" s="445"/>
      <c r="L368" s="445"/>
      <c r="M368" s="445"/>
      <c r="N368" s="445"/>
      <c r="O368" s="445"/>
      <c r="P368" s="445"/>
      <c r="Q368" s="445"/>
      <c r="R368" s="445"/>
      <c r="S368" s="445"/>
      <c r="T368" s="445"/>
      <c r="U368" s="445"/>
      <c r="V368" s="445"/>
      <c r="W368" s="450">
        <f>[3]BDD!E26</f>
        <v>245.84440515</v>
      </c>
      <c r="Y368" s="251" t="s">
        <v>1965</v>
      </c>
    </row>
    <row r="369" spans="1:25" ht="14.45" hidden="1" customHeight="1" thickBot="1">
      <c r="A369" s="445"/>
      <c r="B369" s="446" t="s">
        <v>27</v>
      </c>
      <c r="C369" s="447" t="s">
        <v>1955</v>
      </c>
      <c r="D369" s="445"/>
      <c r="E369" s="455" t="s">
        <v>21</v>
      </c>
      <c r="F369" s="445"/>
      <c r="G369" s="445"/>
      <c r="H369" s="445"/>
      <c r="I369" s="445"/>
      <c r="J369" s="452" t="s">
        <v>14</v>
      </c>
      <c r="K369" s="445"/>
      <c r="L369" s="445"/>
      <c r="M369" s="445"/>
      <c r="N369" s="445"/>
      <c r="O369" s="445"/>
      <c r="P369" s="445"/>
      <c r="Q369" s="445"/>
      <c r="R369" s="445"/>
      <c r="S369" s="445"/>
      <c r="T369" s="445"/>
      <c r="U369" s="445"/>
      <c r="V369" s="445"/>
      <c r="W369" s="450">
        <f>[3]BDD!E27</f>
        <v>11297.181049276574</v>
      </c>
      <c r="Y369" s="251" t="s">
        <v>1965</v>
      </c>
    </row>
    <row r="370" spans="1:25" ht="14.45" hidden="1" customHeight="1" thickBot="1">
      <c r="A370" s="445"/>
      <c r="B370" s="446" t="s">
        <v>27</v>
      </c>
      <c r="C370" s="447" t="s">
        <v>1955</v>
      </c>
      <c r="D370" s="445"/>
      <c r="E370" s="455" t="s">
        <v>21</v>
      </c>
      <c r="F370" s="445"/>
      <c r="G370" s="445"/>
      <c r="H370" s="445"/>
      <c r="I370" s="445"/>
      <c r="J370" s="453" t="s">
        <v>16</v>
      </c>
      <c r="K370" s="445"/>
      <c r="L370" s="445"/>
      <c r="M370" s="445"/>
      <c r="N370" s="445"/>
      <c r="O370" s="445"/>
      <c r="P370" s="445"/>
      <c r="Q370" s="445"/>
      <c r="R370" s="445"/>
      <c r="S370" s="445"/>
      <c r="T370" s="445"/>
      <c r="U370" s="445"/>
      <c r="V370" s="445"/>
      <c r="W370" s="450">
        <f>[3]BDD!E28</f>
        <v>0</v>
      </c>
      <c r="Y370" s="251" t="s">
        <v>1965</v>
      </c>
    </row>
    <row r="371" spans="1:25" ht="14.45" hidden="1" customHeight="1" thickBot="1">
      <c r="A371" s="445"/>
      <c r="B371" s="446" t="s">
        <v>27</v>
      </c>
      <c r="C371" s="447" t="s">
        <v>1955</v>
      </c>
      <c r="D371" s="445"/>
      <c r="E371" s="455" t="s">
        <v>17</v>
      </c>
      <c r="F371" s="445"/>
      <c r="G371" s="445"/>
      <c r="H371" s="445"/>
      <c r="I371" s="445"/>
      <c r="J371" s="449" t="s">
        <v>10</v>
      </c>
      <c r="K371" s="445"/>
      <c r="L371" s="445"/>
      <c r="M371" s="445"/>
      <c r="N371" s="445"/>
      <c r="O371" s="445"/>
      <c r="P371" s="445"/>
      <c r="Q371" s="445"/>
      <c r="R371" s="445"/>
      <c r="S371" s="445"/>
      <c r="T371" s="445"/>
      <c r="U371" s="445"/>
      <c r="V371" s="445"/>
      <c r="W371" s="450">
        <f>[3]BDD!E29</f>
        <v>121.60852585000001</v>
      </c>
      <c r="Y371" s="251" t="s">
        <v>1965</v>
      </c>
    </row>
    <row r="372" spans="1:25" ht="14.45" hidden="1" customHeight="1" thickBot="1">
      <c r="A372" s="445"/>
      <c r="B372" s="446" t="s">
        <v>27</v>
      </c>
      <c r="C372" s="447" t="s">
        <v>1955</v>
      </c>
      <c r="D372" s="445"/>
      <c r="E372" s="455" t="s">
        <v>17</v>
      </c>
      <c r="F372" s="445"/>
      <c r="G372" s="445"/>
      <c r="H372" s="445"/>
      <c r="I372" s="445"/>
      <c r="J372" s="452" t="s">
        <v>14</v>
      </c>
      <c r="K372" s="445"/>
      <c r="L372" s="445"/>
      <c r="M372" s="445"/>
      <c r="N372" s="445"/>
      <c r="O372" s="445"/>
      <c r="P372" s="445"/>
      <c r="Q372" s="445"/>
      <c r="R372" s="445"/>
      <c r="S372" s="445"/>
      <c r="T372" s="445"/>
      <c r="U372" s="445"/>
      <c r="V372" s="445"/>
      <c r="W372" s="450">
        <f>[3]BDD!E30</f>
        <v>3534.4862702212827</v>
      </c>
      <c r="Y372" s="251" t="s">
        <v>1965</v>
      </c>
    </row>
    <row r="373" spans="1:25" ht="14.45" hidden="1" customHeight="1" thickBot="1">
      <c r="A373" s="445"/>
      <c r="B373" s="446" t="s">
        <v>27</v>
      </c>
      <c r="C373" s="447" t="s">
        <v>1955</v>
      </c>
      <c r="D373" s="445"/>
      <c r="E373" s="455" t="s">
        <v>17</v>
      </c>
      <c r="F373" s="445"/>
      <c r="G373" s="445"/>
      <c r="H373" s="445"/>
      <c r="I373" s="445"/>
      <c r="J373" s="453" t="s">
        <v>16</v>
      </c>
      <c r="K373" s="445"/>
      <c r="L373" s="445"/>
      <c r="M373" s="445"/>
      <c r="N373" s="445"/>
      <c r="O373" s="445"/>
      <c r="P373" s="445"/>
      <c r="Q373" s="445"/>
      <c r="R373" s="445"/>
      <c r="S373" s="445"/>
      <c r="T373" s="445"/>
      <c r="U373" s="445"/>
      <c r="V373" s="445"/>
      <c r="W373" s="450">
        <f>[3]BDD!E31</f>
        <v>0</v>
      </c>
      <c r="Y373" s="251" t="s">
        <v>1965</v>
      </c>
    </row>
    <row r="374" spans="1:25" ht="14.45" hidden="1" customHeight="1" thickBot="1">
      <c r="A374" s="445"/>
      <c r="B374" s="446" t="s">
        <v>27</v>
      </c>
      <c r="C374" s="447" t="s">
        <v>1955</v>
      </c>
      <c r="D374" s="445"/>
      <c r="E374" s="279" t="s">
        <v>20</v>
      </c>
      <c r="F374" s="445"/>
      <c r="G374" s="445"/>
      <c r="H374" s="445"/>
      <c r="I374" s="445"/>
      <c r="J374" s="449" t="s">
        <v>10</v>
      </c>
      <c r="K374" s="445"/>
      <c r="L374" s="445"/>
      <c r="M374" s="445"/>
      <c r="N374" s="445"/>
      <c r="O374" s="445"/>
      <c r="P374" s="445"/>
      <c r="Q374" s="445"/>
      <c r="R374" s="445"/>
      <c r="S374" s="445"/>
      <c r="T374" s="445"/>
      <c r="U374" s="445"/>
      <c r="V374" s="445"/>
      <c r="W374" s="450">
        <f>[3]BDD!E32</f>
        <v>72.015100000000004</v>
      </c>
      <c r="Y374" s="251" t="s">
        <v>1965</v>
      </c>
    </row>
    <row r="375" spans="1:25" ht="14.45" hidden="1" customHeight="1" thickBot="1">
      <c r="A375" s="445"/>
      <c r="B375" s="446" t="s">
        <v>27</v>
      </c>
      <c r="C375" s="447" t="s">
        <v>1955</v>
      </c>
      <c r="D375" s="445"/>
      <c r="E375" s="279" t="s">
        <v>20</v>
      </c>
      <c r="F375" s="445"/>
      <c r="G375" s="445"/>
      <c r="H375" s="445"/>
      <c r="I375" s="445"/>
      <c r="J375" s="452" t="s">
        <v>14</v>
      </c>
      <c r="K375" s="445"/>
      <c r="L375" s="445"/>
      <c r="M375" s="445"/>
      <c r="N375" s="445"/>
      <c r="O375" s="445"/>
      <c r="P375" s="445"/>
      <c r="Q375" s="445"/>
      <c r="R375" s="445"/>
      <c r="S375" s="445"/>
      <c r="T375" s="445"/>
      <c r="U375" s="445"/>
      <c r="V375" s="445"/>
      <c r="W375" s="450">
        <f>[3]BDD!E33</f>
        <v>1440.3019999999999</v>
      </c>
      <c r="Y375" s="251" t="s">
        <v>1965</v>
      </c>
    </row>
    <row r="376" spans="1:25" ht="14.45" hidden="1" customHeight="1" thickBot="1">
      <c r="A376" s="445"/>
      <c r="B376" s="446" t="s">
        <v>27</v>
      </c>
      <c r="C376" s="447" t="s">
        <v>1955</v>
      </c>
      <c r="D376" s="445"/>
      <c r="E376" s="279" t="s">
        <v>20</v>
      </c>
      <c r="F376" s="445"/>
      <c r="G376" s="445"/>
      <c r="H376" s="445"/>
      <c r="I376" s="445"/>
      <c r="J376" s="453" t="s">
        <v>16</v>
      </c>
      <c r="K376" s="445"/>
      <c r="L376" s="445"/>
      <c r="M376" s="445"/>
      <c r="N376" s="445"/>
      <c r="O376" s="445"/>
      <c r="P376" s="445"/>
      <c r="Q376" s="445"/>
      <c r="R376" s="445"/>
      <c r="S376" s="445"/>
      <c r="T376" s="445"/>
      <c r="U376" s="445"/>
      <c r="V376" s="445"/>
      <c r="W376" s="450">
        <f>[3]BDD!E34</f>
        <v>0</v>
      </c>
      <c r="Y376" s="251" t="s">
        <v>1965</v>
      </c>
    </row>
    <row r="377" spans="1:25" ht="14.45" hidden="1" customHeight="1" thickBot="1">
      <c r="A377" s="445"/>
      <c r="B377" s="446" t="s">
        <v>27</v>
      </c>
      <c r="C377" s="457" t="s">
        <v>1948</v>
      </c>
      <c r="D377" s="445"/>
      <c r="E377" s="455" t="s">
        <v>21</v>
      </c>
      <c r="F377" s="445"/>
      <c r="G377" s="445"/>
      <c r="H377" s="445"/>
      <c r="I377" s="445"/>
      <c r="J377" s="449" t="s">
        <v>10</v>
      </c>
      <c r="K377" s="445"/>
      <c r="L377" s="445"/>
      <c r="M377" s="445"/>
      <c r="N377" s="445"/>
      <c r="O377" s="445"/>
      <c r="P377" s="445"/>
      <c r="Q377" s="445"/>
      <c r="R377" s="445"/>
      <c r="S377" s="445"/>
      <c r="T377" s="445"/>
      <c r="U377" s="445"/>
      <c r="V377" s="445"/>
      <c r="W377" s="450">
        <f>[3]BDD!E35</f>
        <v>43.483258814000024</v>
      </c>
      <c r="Y377" s="251" t="s">
        <v>1965</v>
      </c>
    </row>
    <row r="378" spans="1:25" ht="14.45" hidden="1" customHeight="1" thickBot="1">
      <c r="A378" s="445"/>
      <c r="B378" s="446" t="s">
        <v>27</v>
      </c>
      <c r="C378" s="457" t="s">
        <v>1948</v>
      </c>
      <c r="D378" s="445"/>
      <c r="E378" s="455" t="s">
        <v>21</v>
      </c>
      <c r="F378" s="445"/>
      <c r="G378" s="445"/>
      <c r="H378" s="445"/>
      <c r="I378" s="445"/>
      <c r="J378" s="452" t="s">
        <v>14</v>
      </c>
      <c r="K378" s="445"/>
      <c r="L378" s="445"/>
      <c r="M378" s="445"/>
      <c r="N378" s="445"/>
      <c r="O378" s="445"/>
      <c r="P378" s="445"/>
      <c r="Q378" s="445"/>
      <c r="R378" s="445"/>
      <c r="S378" s="445"/>
      <c r="T378" s="445"/>
      <c r="U378" s="445"/>
      <c r="V378" s="445"/>
      <c r="W378" s="450">
        <f>[3]BDD!E36</f>
        <v>5434.4877449519645</v>
      </c>
      <c r="Y378" s="251" t="s">
        <v>1965</v>
      </c>
    </row>
    <row r="379" spans="1:25" ht="14.45" hidden="1" customHeight="1" thickBot="1">
      <c r="A379" s="445"/>
      <c r="B379" s="446" t="s">
        <v>27</v>
      </c>
      <c r="C379" s="457" t="s">
        <v>1948</v>
      </c>
      <c r="D379" s="445"/>
      <c r="E379" s="455" t="s">
        <v>21</v>
      </c>
      <c r="F379" s="445"/>
      <c r="G379" s="445"/>
      <c r="H379" s="445"/>
      <c r="I379" s="445"/>
      <c r="J379" s="453" t="s">
        <v>16</v>
      </c>
      <c r="K379" s="445"/>
      <c r="L379" s="445"/>
      <c r="M379" s="445"/>
      <c r="N379" s="445"/>
      <c r="O379" s="445"/>
      <c r="P379" s="445"/>
      <c r="Q379" s="445"/>
      <c r="R379" s="445"/>
      <c r="S379" s="445"/>
      <c r="T379" s="445"/>
      <c r="U379" s="445"/>
      <c r="V379" s="445"/>
      <c r="W379" s="450">
        <f>[3]BDD!E37</f>
        <v>0</v>
      </c>
      <c r="Y379" s="251" t="s">
        <v>1965</v>
      </c>
    </row>
    <row r="380" spans="1:25" ht="14.45" hidden="1" customHeight="1" thickBot="1">
      <c r="A380" s="445"/>
      <c r="B380" s="446" t="s">
        <v>27</v>
      </c>
      <c r="C380" s="457" t="s">
        <v>1948</v>
      </c>
      <c r="D380" s="445"/>
      <c r="E380" s="455" t="s">
        <v>28</v>
      </c>
      <c r="F380" s="445"/>
      <c r="G380" s="445"/>
      <c r="H380" s="445"/>
      <c r="I380" s="445"/>
      <c r="J380" s="449" t="s">
        <v>10</v>
      </c>
      <c r="K380" s="445"/>
      <c r="L380" s="445"/>
      <c r="M380" s="445"/>
      <c r="N380" s="445"/>
      <c r="O380" s="445"/>
      <c r="P380" s="445"/>
      <c r="Q380" s="445"/>
      <c r="R380" s="445"/>
      <c r="S380" s="445"/>
      <c r="T380" s="445"/>
      <c r="U380" s="445"/>
      <c r="V380" s="445"/>
      <c r="W380" s="450">
        <f>[3]BDD!E38</f>
        <v>0</v>
      </c>
      <c r="Y380" s="251" t="s">
        <v>1965</v>
      </c>
    </row>
    <row r="381" spans="1:25" ht="14.45" hidden="1" customHeight="1" thickBot="1">
      <c r="A381" s="445"/>
      <c r="B381" s="446" t="s">
        <v>27</v>
      </c>
      <c r="C381" s="457" t="s">
        <v>1948</v>
      </c>
      <c r="D381" s="445"/>
      <c r="E381" s="455" t="s">
        <v>28</v>
      </c>
      <c r="F381" s="445"/>
      <c r="G381" s="445"/>
      <c r="H381" s="445"/>
      <c r="I381" s="445"/>
      <c r="J381" s="452" t="s">
        <v>14</v>
      </c>
      <c r="K381" s="445"/>
      <c r="L381" s="445"/>
      <c r="M381" s="445"/>
      <c r="N381" s="445"/>
      <c r="O381" s="445"/>
      <c r="P381" s="445"/>
      <c r="Q381" s="445"/>
      <c r="R381" s="445"/>
      <c r="S381" s="445"/>
      <c r="T381" s="445"/>
      <c r="U381" s="445"/>
      <c r="V381" s="445"/>
      <c r="W381" s="450">
        <f>[3]BDD!E39</f>
        <v>0</v>
      </c>
      <c r="Y381" s="251" t="s">
        <v>1965</v>
      </c>
    </row>
    <row r="382" spans="1:25" ht="14.45" hidden="1" customHeight="1" thickBot="1">
      <c r="A382" s="445"/>
      <c r="B382" s="446" t="s">
        <v>27</v>
      </c>
      <c r="C382" s="457" t="s">
        <v>1948</v>
      </c>
      <c r="D382" s="445"/>
      <c r="E382" s="455" t="s">
        <v>28</v>
      </c>
      <c r="F382" s="445"/>
      <c r="G382" s="445"/>
      <c r="H382" s="445"/>
      <c r="I382" s="445"/>
      <c r="J382" s="453" t="s">
        <v>16</v>
      </c>
      <c r="K382" s="445"/>
      <c r="L382" s="445"/>
      <c r="M382" s="445"/>
      <c r="N382" s="445"/>
      <c r="O382" s="445"/>
      <c r="P382" s="445"/>
      <c r="Q382" s="445"/>
      <c r="R382" s="445"/>
      <c r="S382" s="445"/>
      <c r="T382" s="445"/>
      <c r="U382" s="445"/>
      <c r="V382" s="445"/>
      <c r="W382" s="450">
        <f>[3]BDD!E40</f>
        <v>0</v>
      </c>
      <c r="Y382" s="251" t="s">
        <v>1965</v>
      </c>
    </row>
    <row r="383" spans="1:25" ht="14.45" hidden="1" customHeight="1" thickBot="1">
      <c r="A383" s="445"/>
      <c r="B383" s="446" t="s">
        <v>27</v>
      </c>
      <c r="C383" s="457" t="s">
        <v>1948</v>
      </c>
      <c r="D383" s="445"/>
      <c r="E383" s="455" t="s">
        <v>17</v>
      </c>
      <c r="F383" s="445"/>
      <c r="G383" s="445"/>
      <c r="H383" s="445"/>
      <c r="I383" s="445"/>
      <c r="J383" s="449" t="s">
        <v>10</v>
      </c>
      <c r="K383" s="445"/>
      <c r="L383" s="445"/>
      <c r="M383" s="445"/>
      <c r="N383" s="445"/>
      <c r="O383" s="445"/>
      <c r="P383" s="445"/>
      <c r="Q383" s="445"/>
      <c r="R383" s="445"/>
      <c r="S383" s="445"/>
      <c r="T383" s="445"/>
      <c r="U383" s="445"/>
      <c r="V383" s="445"/>
      <c r="W383" s="450">
        <f>[3]BDD!E41</f>
        <v>100.71311998420487</v>
      </c>
      <c r="Y383" s="251" t="s">
        <v>1965</v>
      </c>
    </row>
    <row r="384" spans="1:25" ht="14.45" hidden="1" customHeight="1" thickBot="1">
      <c r="A384" s="445"/>
      <c r="B384" s="446" t="s">
        <v>27</v>
      </c>
      <c r="C384" s="457" t="s">
        <v>1948</v>
      </c>
      <c r="D384" s="445"/>
      <c r="E384" s="455" t="s">
        <v>17</v>
      </c>
      <c r="F384" s="445"/>
      <c r="G384" s="445"/>
      <c r="H384" s="445"/>
      <c r="I384" s="445"/>
      <c r="J384" s="452" t="s">
        <v>14</v>
      </c>
      <c r="K384" s="445"/>
      <c r="L384" s="445"/>
      <c r="M384" s="445"/>
      <c r="N384" s="445"/>
      <c r="O384" s="445"/>
      <c r="P384" s="445"/>
      <c r="Q384" s="445"/>
      <c r="R384" s="445"/>
      <c r="S384" s="445"/>
      <c r="T384" s="445"/>
      <c r="U384" s="445"/>
      <c r="V384" s="445"/>
      <c r="W384" s="450">
        <f>[3]BDD!E42</f>
        <v>11624.758112784342</v>
      </c>
      <c r="Y384" s="251" t="s">
        <v>1965</v>
      </c>
    </row>
    <row r="385" spans="1:25" ht="14.45" hidden="1" customHeight="1" thickBot="1">
      <c r="A385" s="445"/>
      <c r="B385" s="446" t="s">
        <v>27</v>
      </c>
      <c r="C385" s="457" t="s">
        <v>1948</v>
      </c>
      <c r="D385" s="445"/>
      <c r="E385" s="455" t="s">
        <v>17</v>
      </c>
      <c r="F385" s="445"/>
      <c r="G385" s="445"/>
      <c r="H385" s="445"/>
      <c r="I385" s="445"/>
      <c r="J385" s="453" t="s">
        <v>16</v>
      </c>
      <c r="K385" s="445"/>
      <c r="L385" s="445"/>
      <c r="M385" s="445"/>
      <c r="N385" s="445"/>
      <c r="O385" s="445"/>
      <c r="P385" s="445"/>
      <c r="Q385" s="445"/>
      <c r="R385" s="445"/>
      <c r="S385" s="445"/>
      <c r="T385" s="445"/>
      <c r="U385" s="445"/>
      <c r="V385" s="445"/>
      <c r="W385" s="450">
        <f>[3]BDD!E43</f>
        <v>0</v>
      </c>
      <c r="Y385" s="251" t="s">
        <v>1965</v>
      </c>
    </row>
    <row r="386" spans="1:25" ht="14.45" hidden="1" customHeight="1" thickBot="1">
      <c r="A386" s="445"/>
      <c r="B386" s="446" t="s">
        <v>27</v>
      </c>
      <c r="C386" s="457" t="s">
        <v>1948</v>
      </c>
      <c r="D386" s="445"/>
      <c r="E386" s="279" t="s">
        <v>20</v>
      </c>
      <c r="F386" s="445"/>
      <c r="G386" s="445"/>
      <c r="H386" s="445"/>
      <c r="I386" s="445"/>
      <c r="J386" s="449" t="s">
        <v>10</v>
      </c>
      <c r="K386" s="445"/>
      <c r="L386" s="445"/>
      <c r="M386" s="445"/>
      <c r="N386" s="445"/>
      <c r="O386" s="445"/>
      <c r="P386" s="445"/>
      <c r="Q386" s="445"/>
      <c r="R386" s="445"/>
      <c r="S386" s="445"/>
      <c r="T386" s="445"/>
      <c r="U386" s="445"/>
      <c r="V386" s="445"/>
      <c r="W386" s="450">
        <f>[3]BDD!E44</f>
        <v>0</v>
      </c>
      <c r="Y386" s="251" t="s">
        <v>1965</v>
      </c>
    </row>
    <row r="387" spans="1:25" ht="15.75" hidden="1" customHeight="1" thickBot="1">
      <c r="A387" s="445"/>
      <c r="B387" s="446" t="s">
        <v>27</v>
      </c>
      <c r="C387" s="457" t="s">
        <v>1948</v>
      </c>
      <c r="D387" s="445"/>
      <c r="E387" s="279" t="s">
        <v>20</v>
      </c>
      <c r="F387" s="445"/>
      <c r="G387" s="445"/>
      <c r="H387" s="445"/>
      <c r="I387" s="445"/>
      <c r="J387" s="452" t="s">
        <v>14</v>
      </c>
      <c r="K387" s="445"/>
      <c r="L387" s="445"/>
      <c r="M387" s="445"/>
      <c r="N387" s="445"/>
      <c r="O387" s="445"/>
      <c r="P387" s="445"/>
      <c r="Q387" s="445"/>
      <c r="R387" s="445"/>
      <c r="S387" s="445"/>
      <c r="T387" s="445"/>
      <c r="U387" s="445"/>
      <c r="V387" s="445"/>
      <c r="W387" s="450">
        <f>[3]BDD!E45</f>
        <v>0</v>
      </c>
      <c r="Y387" s="251" t="s">
        <v>1965</v>
      </c>
    </row>
    <row r="388" spans="1:25" ht="15.75" hidden="1" customHeight="1" thickBot="1">
      <c r="A388" s="445"/>
      <c r="B388" s="446" t="s">
        <v>27</v>
      </c>
      <c r="C388" s="457" t="s">
        <v>1948</v>
      </c>
      <c r="D388" s="445"/>
      <c r="E388" s="279" t="s">
        <v>20</v>
      </c>
      <c r="F388" s="445"/>
      <c r="G388" s="445"/>
      <c r="H388" s="445"/>
      <c r="I388" s="445"/>
      <c r="J388" s="453" t="s">
        <v>16</v>
      </c>
      <c r="K388" s="445"/>
      <c r="L388" s="445"/>
      <c r="M388" s="445"/>
      <c r="N388" s="445"/>
      <c r="O388" s="445"/>
      <c r="P388" s="445"/>
      <c r="Q388" s="445"/>
      <c r="R388" s="445"/>
      <c r="S388" s="445"/>
      <c r="T388" s="445"/>
      <c r="U388" s="445"/>
      <c r="V388" s="445"/>
      <c r="W388" s="450">
        <f>[3]BDD!E46</f>
        <v>0</v>
      </c>
      <c r="Y388" s="251" t="s">
        <v>1965</v>
      </c>
    </row>
    <row r="391" spans="1:25">
      <c r="P391" s="264"/>
    </row>
  </sheetData>
  <autoFilter ref="A1:AA388">
    <filterColumn colId="2">
      <filters>
        <filter val="Ballast"/>
      </filters>
    </filterColumn>
    <filterColumn colId="4">
      <filters>
        <filter val="Géoparts"/>
      </filters>
    </filterColumn>
  </autoFilter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3" tint="0.39997558519241921"/>
  </sheetPr>
  <dimension ref="A1:AC68"/>
  <sheetViews>
    <sheetView zoomScale="70" zoomScaleNormal="70" workbookViewId="0">
      <selection activeCell="F29" sqref="F29"/>
    </sheetView>
  </sheetViews>
  <sheetFormatPr baseColWidth="10" defaultRowHeight="15"/>
  <cols>
    <col min="1" max="1" width="4.5703125" customWidth="1"/>
    <col min="2" max="2" width="12.5703125" customWidth="1"/>
    <col min="3" max="3" width="28" customWidth="1"/>
    <col min="4" max="27" width="10.7109375" customWidth="1"/>
    <col min="28" max="28" width="12.28515625" customWidth="1"/>
    <col min="29" max="29" width="11.28515625" customWidth="1"/>
    <col min="30" max="31" width="10.7109375" customWidth="1"/>
  </cols>
  <sheetData>
    <row r="1" spans="1:29">
      <c r="A1" s="847" t="s">
        <v>2041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  <c r="R1" s="848"/>
      <c r="S1" s="848"/>
      <c r="T1" s="848"/>
      <c r="U1" s="848"/>
      <c r="V1" s="848"/>
      <c r="W1" s="848"/>
      <c r="X1" s="848"/>
      <c r="Y1" s="848"/>
      <c r="Z1" s="848"/>
      <c r="AA1" s="848"/>
      <c r="AB1" s="848"/>
      <c r="AC1" s="849"/>
    </row>
    <row r="2" spans="1:29">
      <c r="A2" s="850"/>
      <c r="B2" s="851"/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1"/>
      <c r="U2" s="851"/>
      <c r="V2" s="851"/>
      <c r="W2" s="851"/>
      <c r="X2" s="851"/>
      <c r="Y2" s="851"/>
      <c r="Z2" s="851"/>
      <c r="AA2" s="851"/>
      <c r="AB2" s="851"/>
      <c r="AC2" s="852"/>
    </row>
    <row r="3" spans="1:29" ht="15.75" thickBot="1">
      <c r="A3" s="853"/>
      <c r="B3" s="854"/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4"/>
      <c r="T3" s="854"/>
      <c r="U3" s="854"/>
      <c r="V3" s="854"/>
      <c r="W3" s="854"/>
      <c r="X3" s="854"/>
      <c r="Y3" s="854"/>
      <c r="Z3" s="854"/>
      <c r="AA3" s="854"/>
      <c r="AB3" s="854"/>
      <c r="AC3" s="855"/>
    </row>
    <row r="5" spans="1:29">
      <c r="A5" s="861" t="s">
        <v>6</v>
      </c>
      <c r="B5" s="862"/>
      <c r="C5" s="86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</row>
    <row r="6" spans="1:29">
      <c r="A6" s="863"/>
      <c r="B6" s="864"/>
      <c r="C6" s="86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20"/>
    </row>
    <row r="7" spans="1:29">
      <c r="A7" s="865" t="s">
        <v>0</v>
      </c>
      <c r="B7" s="865" t="s">
        <v>1</v>
      </c>
      <c r="C7" s="865" t="s">
        <v>2</v>
      </c>
      <c r="D7" s="860" t="s">
        <v>29</v>
      </c>
      <c r="E7" s="860"/>
      <c r="F7" s="860" t="s">
        <v>30</v>
      </c>
      <c r="G7" s="860"/>
      <c r="H7" s="860" t="s">
        <v>31</v>
      </c>
      <c r="I7" s="860"/>
      <c r="J7" s="858" t="s">
        <v>32</v>
      </c>
      <c r="K7" s="859"/>
      <c r="L7" s="858" t="s">
        <v>33</v>
      </c>
      <c r="M7" s="859"/>
      <c r="N7" s="858" t="s">
        <v>34</v>
      </c>
      <c r="O7" s="859"/>
      <c r="P7" s="858" t="s">
        <v>35</v>
      </c>
      <c r="Q7" s="859"/>
      <c r="R7" s="858" t="s">
        <v>36</v>
      </c>
      <c r="S7" s="859"/>
      <c r="T7" s="858" t="s">
        <v>37</v>
      </c>
      <c r="U7" s="859"/>
      <c r="V7" s="858" t="s">
        <v>38</v>
      </c>
      <c r="W7" s="859"/>
      <c r="X7" s="858" t="s">
        <v>39</v>
      </c>
      <c r="Y7" s="859"/>
      <c r="Z7" s="860" t="s">
        <v>40</v>
      </c>
      <c r="AA7" s="860"/>
      <c r="AB7" s="856" t="s">
        <v>55</v>
      </c>
      <c r="AC7" s="857"/>
    </row>
    <row r="8" spans="1:29">
      <c r="A8" s="866"/>
      <c r="B8" s="866"/>
      <c r="C8" s="867"/>
      <c r="D8" s="12" t="s">
        <v>26</v>
      </c>
      <c r="E8" s="13" t="s">
        <v>5</v>
      </c>
      <c r="F8" s="12" t="s">
        <v>26</v>
      </c>
      <c r="G8" s="13" t="s">
        <v>5</v>
      </c>
      <c r="H8" s="12" t="s">
        <v>26</v>
      </c>
      <c r="I8" s="13" t="s">
        <v>5</v>
      </c>
      <c r="J8" s="12" t="s">
        <v>26</v>
      </c>
      <c r="K8" s="13" t="s">
        <v>5</v>
      </c>
      <c r="L8" s="12" t="s">
        <v>26</v>
      </c>
      <c r="M8" s="13" t="s">
        <v>5</v>
      </c>
      <c r="N8" s="12" t="s">
        <v>26</v>
      </c>
      <c r="O8" s="13" t="s">
        <v>5</v>
      </c>
      <c r="P8" s="12" t="s">
        <v>26</v>
      </c>
      <c r="Q8" s="13" t="s">
        <v>5</v>
      </c>
      <c r="R8" s="12" t="s">
        <v>26</v>
      </c>
      <c r="S8" s="13" t="s">
        <v>5</v>
      </c>
      <c r="T8" s="12" t="s">
        <v>26</v>
      </c>
      <c r="U8" s="13" t="s">
        <v>5</v>
      </c>
      <c r="V8" s="12" t="s">
        <v>26</v>
      </c>
      <c r="W8" s="13" t="s">
        <v>5</v>
      </c>
      <c r="X8" s="12" t="s">
        <v>26</v>
      </c>
      <c r="Y8" s="13" t="s">
        <v>5</v>
      </c>
      <c r="Z8" s="12" t="s">
        <v>26</v>
      </c>
      <c r="AA8" s="13" t="s">
        <v>5</v>
      </c>
      <c r="AB8" s="12" t="s">
        <v>26</v>
      </c>
      <c r="AC8" s="13" t="s">
        <v>5</v>
      </c>
    </row>
    <row r="9" spans="1:29">
      <c r="A9" s="76">
        <v>1</v>
      </c>
      <c r="B9" s="76" t="s">
        <v>7</v>
      </c>
      <c r="C9" s="76" t="s">
        <v>8</v>
      </c>
      <c r="D9" s="65">
        <f>[4]BDD!$K$196</f>
        <v>0</v>
      </c>
      <c r="E9" s="64">
        <f>[4]BDD!$K$8</f>
        <v>221167</v>
      </c>
      <c r="F9" s="65">
        <f>[4]BDD!$L$199</f>
        <v>1545584.8602309763</v>
      </c>
      <c r="G9" s="64">
        <f>[4]BDD!$L$8</f>
        <v>189284</v>
      </c>
      <c r="H9" s="65">
        <f>[4]BDD!$M$199</f>
        <v>0</v>
      </c>
      <c r="I9" s="64">
        <f>[4]BDD!$M$8</f>
        <v>225597</v>
      </c>
      <c r="J9" s="65">
        <f>[4]BDD!$N$199</f>
        <v>0</v>
      </c>
      <c r="K9" s="64">
        <f>[4]BDD!$N$8</f>
        <v>0</v>
      </c>
      <c r="L9" s="65">
        <f>[4]BDD!$O$199</f>
        <v>0</v>
      </c>
      <c r="M9" s="64">
        <f>[4]BDD!$O$8</f>
        <v>0</v>
      </c>
      <c r="N9" s="65">
        <f>[4]BDD!$P$199</f>
        <v>0</v>
      </c>
      <c r="O9" s="64">
        <f>[4]BDD!$P$8</f>
        <v>0</v>
      </c>
      <c r="P9" s="65">
        <f>[4]BDD!$Q$199</f>
        <v>0</v>
      </c>
      <c r="Q9" s="64">
        <f>[4]BDD!$Q$8</f>
        <v>0</v>
      </c>
      <c r="R9" s="65">
        <f>[4]BDD!$R$199</f>
        <v>0</v>
      </c>
      <c r="S9" s="64">
        <f>[4]BDD!$R$8</f>
        <v>0</v>
      </c>
      <c r="T9" s="65">
        <f>[4]BDD!$S$199</f>
        <v>0</v>
      </c>
      <c r="U9" s="64">
        <f>[4]BDD!$S$8</f>
        <v>0</v>
      </c>
      <c r="V9" s="65">
        <f>[4]BDD!$T$199</f>
        <v>0</v>
      </c>
      <c r="W9" s="64">
        <f>[4]BDD!$T$8</f>
        <v>0</v>
      </c>
      <c r="X9" s="65">
        <f>[4]BDD!$U$199</f>
        <v>0</v>
      </c>
      <c r="Y9" s="64">
        <f>[4]BDD!$U$8</f>
        <v>0</v>
      </c>
      <c r="Z9" s="65">
        <f>[4]BDD!$V$199</f>
        <v>0</v>
      </c>
      <c r="AA9" s="64">
        <f>[4]BDD!$V$8</f>
        <v>0</v>
      </c>
      <c r="AB9" s="65">
        <f>[4]BDD!$W$199</f>
        <v>3359588.4026434589</v>
      </c>
      <c r="AC9" s="64">
        <f>[4]BDD!$W$8</f>
        <v>636048</v>
      </c>
    </row>
    <row r="10" spans="1:29">
      <c r="A10" s="77">
        <v>2</v>
      </c>
      <c r="B10" s="77" t="s">
        <v>7</v>
      </c>
      <c r="C10" s="77" t="s">
        <v>9</v>
      </c>
      <c r="D10" s="67">
        <f>[4]BDD!$K$200</f>
        <v>0</v>
      </c>
      <c r="E10" s="68">
        <f>[4]BDD!$K$9</f>
        <v>1110.090909090909</v>
      </c>
      <c r="F10" s="67">
        <f>[4]BDD!$L$200</f>
        <v>0</v>
      </c>
      <c r="G10" s="68">
        <f>[4]BDD!$L$9</f>
        <v>1176.4000000000001</v>
      </c>
      <c r="H10" s="67">
        <f>[4]BDD!$M$200</f>
        <v>0</v>
      </c>
      <c r="I10" s="68">
        <f>[4]BDD!$M$9</f>
        <v>1036.0833333333333</v>
      </c>
      <c r="J10" s="67">
        <f>[4]BDD!$N$200</f>
        <v>0</v>
      </c>
      <c r="K10" s="68">
        <f>[4]BDD!$N$9</f>
        <v>0</v>
      </c>
      <c r="L10" s="67">
        <f>[4]BDD!$O$200</f>
        <v>0</v>
      </c>
      <c r="M10" s="68">
        <f>[4]BDD!$O$9</f>
        <v>0</v>
      </c>
      <c r="N10" s="67">
        <f>[4]BDD!$P$200</f>
        <v>0</v>
      </c>
      <c r="O10" s="68">
        <f>[4]BDD!$P$9</f>
        <v>0</v>
      </c>
      <c r="P10" s="67">
        <f>[4]BDD!$Q$200</f>
        <v>0</v>
      </c>
      <c r="Q10" s="68">
        <f>[4]BDD!$Q$9</f>
        <v>0</v>
      </c>
      <c r="R10" s="67">
        <f>[4]BDD!$R$200</f>
        <v>0</v>
      </c>
      <c r="S10" s="68">
        <f>[4]BDD!$R$9</f>
        <v>0</v>
      </c>
      <c r="T10" s="67">
        <f>[4]BDD!$S$200</f>
        <v>0</v>
      </c>
      <c r="U10" s="68">
        <f>[4]BDD!$S$9</f>
        <v>0</v>
      </c>
      <c r="V10" s="67">
        <f>[4]BDD!$T$200</f>
        <v>0</v>
      </c>
      <c r="W10" s="68">
        <f>[4]BDD!$T$9</f>
        <v>0</v>
      </c>
      <c r="X10" s="67">
        <f>[4]BDD!$U$200</f>
        <v>0</v>
      </c>
      <c r="Y10" s="68">
        <f>[4]BDD!$U$9</f>
        <v>0</v>
      </c>
      <c r="Z10" s="67">
        <f>[4]BDD!$V$200</f>
        <v>0</v>
      </c>
      <c r="AA10" s="68">
        <f>[4]BDD!$V$9</f>
        <v>0</v>
      </c>
      <c r="AB10" s="67">
        <f>[4]BDD!$W$200</f>
        <v>0</v>
      </c>
      <c r="AC10" s="68">
        <f>[4]BDD!$W$9</f>
        <v>1103.2727272727273</v>
      </c>
    </row>
    <row r="11" spans="1:29">
      <c r="A11" s="77">
        <v>3</v>
      </c>
      <c r="B11" s="77" t="s">
        <v>7</v>
      </c>
      <c r="C11" s="77" t="s">
        <v>10</v>
      </c>
      <c r="D11" s="67">
        <f>[4]BDD!$K$201</f>
        <v>0</v>
      </c>
      <c r="E11" s="68">
        <f>[4]BDD!$K$10</f>
        <v>18.11211203013676</v>
      </c>
      <c r="F11" s="67">
        <f>[4]BDD!$L$201</f>
        <v>0</v>
      </c>
      <c r="G11" s="68">
        <f>[4]BDD!$L$10</f>
        <v>16.09010540632438</v>
      </c>
      <c r="H11" s="67">
        <f>[4]BDD!$M$201</f>
        <v>0</v>
      </c>
      <c r="I11" s="68">
        <f>[4]BDD!$M$10</f>
        <v>18.145017292688813</v>
      </c>
      <c r="J11" s="67">
        <f>[4]BDD!$N$201</f>
        <v>0</v>
      </c>
      <c r="K11" s="68">
        <f>[4]BDD!$N$10</f>
        <v>0</v>
      </c>
      <c r="L11" s="67">
        <f>[4]BDD!$O$201</f>
        <v>0</v>
      </c>
      <c r="M11" s="68">
        <f>[4]BDD!$O$10</f>
        <v>0</v>
      </c>
      <c r="N11" s="67">
        <f>[4]BDD!$P$201</f>
        <v>0</v>
      </c>
      <c r="O11" s="68">
        <f>[4]BDD!$P$10</f>
        <v>0</v>
      </c>
      <c r="P11" s="67">
        <f>[4]BDD!$Q$201</f>
        <v>0</v>
      </c>
      <c r="Q11" s="68">
        <f>[4]BDD!$Q$10</f>
        <v>0</v>
      </c>
      <c r="R11" s="67">
        <f>[4]BDD!$R$201</f>
        <v>0</v>
      </c>
      <c r="S11" s="68">
        <f>[4]BDD!$R$10</f>
        <v>0</v>
      </c>
      <c r="T11" s="67">
        <f>[4]BDD!$S$201</f>
        <v>0</v>
      </c>
      <c r="U11" s="68">
        <f>[4]BDD!$S$10</f>
        <v>0</v>
      </c>
      <c r="V11" s="67">
        <f>[4]BDD!$T$201</f>
        <v>0</v>
      </c>
      <c r="W11" s="68">
        <f>[4]BDD!$T$10</f>
        <v>0</v>
      </c>
      <c r="X11" s="67">
        <f>[4]BDD!$U$201</f>
        <v>0</v>
      </c>
      <c r="Y11" s="68">
        <f>[4]BDD!$U$10</f>
        <v>0</v>
      </c>
      <c r="Z11" s="67">
        <f>[4]BDD!$V$201</f>
        <v>0</v>
      </c>
      <c r="AA11" s="68">
        <f>[4]BDD!$V$10</f>
        <v>0</v>
      </c>
      <c r="AB11" s="67">
        <f>[4]BDD!$W$201</f>
        <v>0</v>
      </c>
      <c r="AC11" s="68">
        <f>[4]BDD!$W$10</f>
        <v>17.470006591957812</v>
      </c>
    </row>
    <row r="12" spans="1:29">
      <c r="A12" s="77">
        <v>4</v>
      </c>
      <c r="B12" s="77" t="s">
        <v>7</v>
      </c>
      <c r="C12" s="77" t="s">
        <v>11</v>
      </c>
      <c r="D12" s="67">
        <f>[4]BDD!$K$202</f>
        <v>1814003.5424124829</v>
      </c>
      <c r="E12" s="68">
        <f>[4]BDD!$K$11</f>
        <v>0</v>
      </c>
      <c r="F12" s="67">
        <f>[4]BDD!$L$202</f>
        <v>1545584.8602309763</v>
      </c>
      <c r="G12" s="68">
        <f>[4]BDD!$L$11</f>
        <v>0</v>
      </c>
      <c r="H12" s="67">
        <f>[4]BDD!$M$202</f>
        <v>0</v>
      </c>
      <c r="I12" s="68">
        <f>[4]BDD!$M$11</f>
        <v>0</v>
      </c>
      <c r="J12" s="67">
        <f>[4]BDD!$N$202</f>
        <v>0</v>
      </c>
      <c r="K12" s="68">
        <f>[4]BDD!$N$11</f>
        <v>0</v>
      </c>
      <c r="L12" s="67">
        <f>[4]BDD!$O$202</f>
        <v>0</v>
      </c>
      <c r="M12" s="68">
        <f>[4]BDD!$O$11</f>
        <v>0</v>
      </c>
      <c r="N12" s="67">
        <f>[4]BDD!$P$202</f>
        <v>0</v>
      </c>
      <c r="O12" s="68">
        <f>[4]BDD!$P$11</f>
        <v>0</v>
      </c>
      <c r="P12" s="67">
        <f>[4]BDD!$Q$202</f>
        <v>0</v>
      </c>
      <c r="Q12" s="68">
        <f>[4]BDD!$Q$11</f>
        <v>0</v>
      </c>
      <c r="R12" s="67">
        <f>[4]BDD!$R$202</f>
        <v>0</v>
      </c>
      <c r="S12" s="68">
        <f>[4]BDD!$R$11</f>
        <v>0</v>
      </c>
      <c r="T12" s="67">
        <f>[4]BDD!$S$202</f>
        <v>0</v>
      </c>
      <c r="U12" s="68">
        <f>[4]BDD!$S$11</f>
        <v>0</v>
      </c>
      <c r="V12" s="67">
        <f>[4]BDD!$T$202</f>
        <v>0</v>
      </c>
      <c r="W12" s="68">
        <f>[4]BDD!$T$11</f>
        <v>0</v>
      </c>
      <c r="X12" s="67">
        <f>[4]BDD!$U$202</f>
        <v>0</v>
      </c>
      <c r="Y12" s="68">
        <f>[4]BDD!$U$11</f>
        <v>0</v>
      </c>
      <c r="Z12" s="67">
        <f>[4]BDD!$V$202</f>
        <v>0</v>
      </c>
      <c r="AA12" s="68">
        <f>[4]BDD!$V$11</f>
        <v>0</v>
      </c>
      <c r="AB12" s="67">
        <f>[4]BDD!$W$202</f>
        <v>3359588.4026434589</v>
      </c>
      <c r="AC12" s="68">
        <f>[4]BDD!$W$11</f>
        <v>0</v>
      </c>
    </row>
    <row r="13" spans="1:29">
      <c r="A13" s="77">
        <v>5</v>
      </c>
      <c r="B13" s="77" t="s">
        <v>7</v>
      </c>
      <c r="C13" s="77" t="s">
        <v>12</v>
      </c>
      <c r="D13" s="67">
        <f>[4]BDD!$K$203</f>
        <v>1101.4423076923076</v>
      </c>
      <c r="E13" s="68">
        <f>[4]BDD!$K$12</f>
        <v>56</v>
      </c>
      <c r="F13" s="67">
        <f>[4]BDD!$L$203</f>
        <v>1096.629213483146</v>
      </c>
      <c r="G13" s="68">
        <f>[4]BDD!$L$12</f>
        <v>76</v>
      </c>
      <c r="H13" s="67">
        <f>[4]BDD!$M$203</f>
        <v>0</v>
      </c>
      <c r="I13" s="68">
        <f>[4]BDD!$M$12</f>
        <v>92</v>
      </c>
      <c r="J13" s="67">
        <f>[4]BDD!$N$203</f>
        <v>0</v>
      </c>
      <c r="K13" s="68">
        <f>[4]BDD!$N$12</f>
        <v>0</v>
      </c>
      <c r="L13" s="67">
        <f>[4]BDD!$O$203</f>
        <v>0</v>
      </c>
      <c r="M13" s="68">
        <f>[4]BDD!$O$12</f>
        <v>0</v>
      </c>
      <c r="N13" s="67">
        <f>[4]BDD!$P$203</f>
        <v>0</v>
      </c>
      <c r="O13" s="68">
        <f>[4]BDD!$P$12</f>
        <v>0</v>
      </c>
      <c r="P13" s="67">
        <f>[4]BDD!$Q$203</f>
        <v>0</v>
      </c>
      <c r="Q13" s="68">
        <f>[4]BDD!$Q$12</f>
        <v>0</v>
      </c>
      <c r="R13" s="67">
        <f>[4]BDD!$R$203</f>
        <v>0</v>
      </c>
      <c r="S13" s="68">
        <f>[4]BDD!$R$12</f>
        <v>0</v>
      </c>
      <c r="T13" s="67">
        <f>[4]BDD!$S$203</f>
        <v>0</v>
      </c>
      <c r="U13" s="68">
        <f>[4]BDD!$S$12</f>
        <v>0</v>
      </c>
      <c r="V13" s="67">
        <f>[4]BDD!$T$203</f>
        <v>0</v>
      </c>
      <c r="W13" s="68">
        <f>[4]BDD!$T$12</f>
        <v>0</v>
      </c>
      <c r="X13" s="67">
        <f>[4]BDD!$U$203</f>
        <v>0</v>
      </c>
      <c r="Y13" s="68">
        <f>[4]BDD!$U$12</f>
        <v>0</v>
      </c>
      <c r="Z13" s="67">
        <f>[4]BDD!$V$203</f>
        <v>0</v>
      </c>
      <c r="AA13" s="68">
        <f>[4]BDD!$V$12</f>
        <v>0</v>
      </c>
      <c r="AB13" s="67">
        <f>[4]BDD!$W$203</f>
        <v>1099.2227979274612</v>
      </c>
      <c r="AC13" s="68">
        <f>[4]BDD!$W$12</f>
        <v>224</v>
      </c>
    </row>
    <row r="14" spans="1:29">
      <c r="A14" s="77">
        <v>6</v>
      </c>
      <c r="B14" s="77" t="s">
        <v>7</v>
      </c>
      <c r="C14" s="77" t="s">
        <v>13</v>
      </c>
      <c r="D14" s="67">
        <f>[4]BDD!$K$204</f>
        <v>15.835910453186232</v>
      </c>
      <c r="E14" s="68">
        <f>[4]BDD!$K$13</f>
        <v>64513</v>
      </c>
      <c r="F14" s="67">
        <f>[4]BDD!$L$204</f>
        <v>15.835910453186232</v>
      </c>
      <c r="G14" s="68">
        <f>[4]BDD!$L$13</f>
        <v>74252</v>
      </c>
      <c r="H14" s="67">
        <f>[4]BDD!$M$204</f>
        <v>0</v>
      </c>
      <c r="I14" s="68">
        <f>[4]BDD!$M$13</f>
        <v>95390</v>
      </c>
      <c r="J14" s="67">
        <f>[4]BDD!$N$204</f>
        <v>0</v>
      </c>
      <c r="K14" s="68">
        <f>[4]BDD!$N$13</f>
        <v>0</v>
      </c>
      <c r="L14" s="67">
        <f>[4]BDD!$O$204</f>
        <v>0</v>
      </c>
      <c r="M14" s="68">
        <f>[4]BDD!$O$13</f>
        <v>0</v>
      </c>
      <c r="N14" s="67">
        <f>[4]BDD!$P$204</f>
        <v>0</v>
      </c>
      <c r="O14" s="68">
        <f>[4]BDD!$P$13</f>
        <v>0</v>
      </c>
      <c r="P14" s="67">
        <f>[4]BDD!$Q$204</f>
        <v>0</v>
      </c>
      <c r="Q14" s="68">
        <f>[4]BDD!$Q$13</f>
        <v>0</v>
      </c>
      <c r="R14" s="67">
        <f>[4]BDD!$R$204</f>
        <v>0</v>
      </c>
      <c r="S14" s="68">
        <f>[4]BDD!$R$13</f>
        <v>0</v>
      </c>
      <c r="T14" s="67">
        <f>[4]BDD!$S$204</f>
        <v>0</v>
      </c>
      <c r="U14" s="68">
        <f>[4]BDD!$S$13</f>
        <v>0</v>
      </c>
      <c r="V14" s="67">
        <f>[4]BDD!$T$204</f>
        <v>0</v>
      </c>
      <c r="W14" s="68">
        <f>[4]BDD!$T$13</f>
        <v>0</v>
      </c>
      <c r="X14" s="67">
        <f>[4]BDD!$U$204</f>
        <v>0</v>
      </c>
      <c r="Y14" s="68">
        <f>[4]BDD!$U$13</f>
        <v>0</v>
      </c>
      <c r="Z14" s="67">
        <f>[4]BDD!$V$204</f>
        <v>0</v>
      </c>
      <c r="AA14" s="68">
        <f>[4]BDD!$V$13</f>
        <v>0</v>
      </c>
      <c r="AB14" s="67">
        <f>[4]BDD!$W$204</f>
        <v>15.835910453186232</v>
      </c>
      <c r="AC14" s="68">
        <f>[4]BDD!$W$13</f>
        <v>234155</v>
      </c>
    </row>
    <row r="15" spans="1:29">
      <c r="A15" s="77">
        <v>7</v>
      </c>
      <c r="B15" s="77" t="s">
        <v>7</v>
      </c>
      <c r="C15" s="77" t="s">
        <v>14</v>
      </c>
      <c r="D15" s="67">
        <f>[4]BDD!$K$205</f>
        <v>0</v>
      </c>
      <c r="E15" s="68">
        <f>[4]BDD!$K$17</f>
        <v>1069623</v>
      </c>
      <c r="F15" s="67">
        <f>[4]BDD!$L$205</f>
        <v>0</v>
      </c>
      <c r="G15" s="68">
        <f>[4]BDD!$L$17</f>
        <v>1276863</v>
      </c>
      <c r="H15" s="67">
        <f>[4]BDD!$M$205</f>
        <v>0</v>
      </c>
      <c r="I15" s="68">
        <f>[4]BDD!$M$17</f>
        <v>1666205</v>
      </c>
      <c r="J15" s="67">
        <f>[4]BDD!$N$205</f>
        <v>0</v>
      </c>
      <c r="K15" s="68">
        <f>[4]BDD!$N$17</f>
        <v>0</v>
      </c>
      <c r="L15" s="67">
        <f>[4]BDD!$O$205</f>
        <v>0</v>
      </c>
      <c r="M15" s="68">
        <f>[4]BDD!$O$17</f>
        <v>0</v>
      </c>
      <c r="N15" s="67">
        <f>[4]BDD!$P$205</f>
        <v>0</v>
      </c>
      <c r="O15" s="68">
        <f>[4]BDD!$P$17</f>
        <v>0</v>
      </c>
      <c r="P15" s="67">
        <f>[4]BDD!$Q$205</f>
        <v>0</v>
      </c>
      <c r="Q15" s="68">
        <f>[4]BDD!$Q$17</f>
        <v>0</v>
      </c>
      <c r="R15" s="67">
        <f>[4]BDD!$R$205</f>
        <v>0</v>
      </c>
      <c r="S15" s="68">
        <f>[4]BDD!$R$17</f>
        <v>0</v>
      </c>
      <c r="T15" s="67">
        <f>[4]BDD!$S$205</f>
        <v>0</v>
      </c>
      <c r="U15" s="68">
        <f>[4]BDD!$S$17</f>
        <v>0</v>
      </c>
      <c r="V15" s="67">
        <f>[4]BDD!$T$205</f>
        <v>0</v>
      </c>
      <c r="W15" s="68">
        <f>[4]BDD!$T$17</f>
        <v>0</v>
      </c>
      <c r="X15" s="67">
        <f>[4]BDD!$U$205</f>
        <v>0</v>
      </c>
      <c r="Y15" s="68">
        <f>[4]BDD!$U$17</f>
        <v>0</v>
      </c>
      <c r="Z15" s="67">
        <f>[4]BDD!$V$205</f>
        <v>0</v>
      </c>
      <c r="AA15" s="68">
        <f>[4]BDD!$V$17</f>
        <v>0</v>
      </c>
      <c r="AB15" s="67">
        <f>[4]BDD!$W$205</f>
        <v>0</v>
      </c>
      <c r="AC15" s="68">
        <f>[4]BDD!$W$17</f>
        <v>4012691</v>
      </c>
    </row>
    <row r="16" spans="1:29">
      <c r="A16" s="77">
        <v>8</v>
      </c>
      <c r="B16" s="77" t="s">
        <v>7</v>
      </c>
      <c r="C16" s="77" t="s">
        <v>15</v>
      </c>
      <c r="D16" s="67">
        <f>IF(D11=0,0,IF(D10=0,0,(D11/D10)))</f>
        <v>0</v>
      </c>
      <c r="E16" s="68">
        <f>IF(E10=0,0,IF(E11=0,0,(E11/E10)))</f>
        <v>1.6315881773114764E-2</v>
      </c>
      <c r="F16" s="67">
        <f>IF(F11=0,0,IF(F10=0,0,(F11/F10)))</f>
        <v>0</v>
      </c>
      <c r="G16" s="68">
        <f>IF(G10=0,0,IF(G11=0,0,(G11/G10)))</f>
        <v>1.3677410239990121E-2</v>
      </c>
      <c r="H16" s="67">
        <f>IF(H11=0,0,IF(H10=0,0,(H11/H10)))</f>
        <v>0</v>
      </c>
      <c r="I16" s="68">
        <f>IF(I10=0,0,IF(I11=0,0,(I11/I10)))</f>
        <v>1.7513086745939498E-2</v>
      </c>
      <c r="J16" s="67">
        <f>IF(J11=0,0,IF(J10=0,0,(J11/J10)))</f>
        <v>0</v>
      </c>
      <c r="K16" s="68">
        <f>IF(K10=0,0,IF(K11=0,0,(K11/K10)))</f>
        <v>0</v>
      </c>
      <c r="L16" s="67">
        <f>IF(L11=0,0,IF(L10=0,0,(L11/L10)))</f>
        <v>0</v>
      </c>
      <c r="M16" s="68">
        <f>IF(M10=0,0,IF(M11=0,0,(M11/M10)))</f>
        <v>0</v>
      </c>
      <c r="N16" s="67">
        <f>IF(N11=0,0,IF(N10=0,0,(N11/N10)))</f>
        <v>0</v>
      </c>
      <c r="O16" s="68">
        <f>IF(O10=0,0,IF(O11=0,0,(O11/O10)))</f>
        <v>0</v>
      </c>
      <c r="P16" s="67">
        <f>IF(P11=0,0,IF(P10=0,0,(P11/P10)))</f>
        <v>0</v>
      </c>
      <c r="Q16" s="68">
        <f>IF(Q10=0,0,IF(Q11=0,0,(Q11/Q10)))</f>
        <v>0</v>
      </c>
      <c r="R16" s="67">
        <f>IF(R11=0,0,IF(R10=0,0,(R11/R10)))</f>
        <v>0</v>
      </c>
      <c r="S16" s="68">
        <f>IF(S10=0,0,IF(S11=0,0,(S11/S10)))</f>
        <v>0</v>
      </c>
      <c r="T16" s="67">
        <f>IF(T11=0,0,IF(T10=0,0,(T11/T10)))</f>
        <v>0</v>
      </c>
      <c r="U16" s="68">
        <f>IF(U10=0,0,IF(U11=0,0,(U11/U10)))</f>
        <v>0</v>
      </c>
      <c r="V16" s="67">
        <f>IF(V11=0,0,IF(V10=0,0,(V11/V10)))</f>
        <v>0</v>
      </c>
      <c r="W16" s="68">
        <f>IF(W10=0,0,IF(W11=0,0,(W11/W10)))</f>
        <v>0</v>
      </c>
      <c r="X16" s="67">
        <f>IF(X11=0,0,IF(X10=0,0,(X11/X10)))</f>
        <v>0</v>
      </c>
      <c r="Y16" s="68">
        <f>IF(Y10=0,0,IF(Y11=0,0,(Y11/Y10)))</f>
        <v>0</v>
      </c>
      <c r="Z16" s="67">
        <f>IF(Z11=0,0,IF(Z10=0,0,(Z11/Z10)))</f>
        <v>0</v>
      </c>
      <c r="AA16" s="68">
        <f>IF(AA10=0,0,IF(AA11=0,0,(AA11/AA10)))</f>
        <v>0</v>
      </c>
      <c r="AB16" s="67">
        <f>IF(AB11=0,0,IF(AB10=0,0,(AB11/AB10)))</f>
        <v>0</v>
      </c>
      <c r="AC16" s="68">
        <f>IF(AC10=0,0,IF(AC11=0,0,(AC11/AC10)))</f>
        <v>1.583471263278971E-2</v>
      </c>
    </row>
    <row r="17" spans="1:29">
      <c r="A17" s="78">
        <v>9</v>
      </c>
      <c r="B17" s="78" t="s">
        <v>7</v>
      </c>
      <c r="C17" s="78" t="s">
        <v>16</v>
      </c>
      <c r="D17" s="69">
        <f t="shared" ref="D17:L17" si="0">IF(D11=0,0,IF(D15=0,0,(D15/D11)))</f>
        <v>0</v>
      </c>
      <c r="E17" s="70">
        <f t="shared" si="0"/>
        <v>59055.674910814007</v>
      </c>
      <c r="F17" s="69">
        <f t="shared" si="0"/>
        <v>0</v>
      </c>
      <c r="G17" s="70">
        <f t="shared" si="0"/>
        <v>79357.031402548557</v>
      </c>
      <c r="H17" s="69">
        <f t="shared" si="0"/>
        <v>0</v>
      </c>
      <c r="I17" s="70">
        <f t="shared" si="0"/>
        <v>91827.137617078231</v>
      </c>
      <c r="J17" s="69">
        <f t="shared" si="0"/>
        <v>0</v>
      </c>
      <c r="K17" s="70">
        <f t="shared" si="0"/>
        <v>0</v>
      </c>
      <c r="L17" s="69">
        <f t="shared" si="0"/>
        <v>0</v>
      </c>
      <c r="M17" s="70">
        <f>IF(M15=0,0,IF(M11=0,0,(M15/M11)))</f>
        <v>0</v>
      </c>
      <c r="N17" s="69">
        <f>IF(N11=0,0,IF(N15=0,0,(N15/N11)))</f>
        <v>0</v>
      </c>
      <c r="O17" s="70">
        <f>IF(O11=0,0,IF(O15=0,0,(O15/O11)))</f>
        <v>0</v>
      </c>
      <c r="P17" s="69">
        <f>IF(P11=0,0,IF(P15=0,0,(P15/P11)))</f>
        <v>0</v>
      </c>
      <c r="Q17" s="70">
        <f>IF(Q15=0,0,IF(Q11=0,0,(Q15/Q11)))</f>
        <v>0</v>
      </c>
      <c r="R17" s="69">
        <f>IF(R11=0,0,IF(R15=0,0,(R15/R11)))</f>
        <v>0</v>
      </c>
      <c r="S17" s="70">
        <f>IF(S15=0,0,IF(S11=0,0,(S15/S11)))</f>
        <v>0</v>
      </c>
      <c r="T17" s="69">
        <f>IF(T11=0,0,IF(T15=0,0,(T15/T11)))</f>
        <v>0</v>
      </c>
      <c r="U17" s="70">
        <f>IF(U15=0,0,IF(U11=0,0,(U15/U11)))</f>
        <v>0</v>
      </c>
      <c r="V17" s="69">
        <f>IF(V11=0,0,IF(V15=0,0,(V15/V11)))</f>
        <v>0</v>
      </c>
      <c r="W17" s="70">
        <f>IF(W15=0,0,IF(W11=0,0,(W15/W11)))</f>
        <v>0</v>
      </c>
      <c r="X17" s="69">
        <f>IF(X11=0,0,IF(X15=0,0,(X15/X11)))</f>
        <v>0</v>
      </c>
      <c r="Y17" s="70">
        <f>IF(Y15=0,0,IF(Y11=0,0,(Y15/Y11)))</f>
        <v>0</v>
      </c>
      <c r="Z17" s="69">
        <f>IF(Z11=0,0,IF(Z15=0,0,(Z15/Z11)))</f>
        <v>0</v>
      </c>
      <c r="AA17" s="70">
        <f>IF(AA15=0,0,IF(AA11=0,0,(AA15/AA11)))</f>
        <v>0</v>
      </c>
      <c r="AB17" s="69">
        <f>IF(AB11=0,0,IF(AB15=0,0,(AB15/AB11)))</f>
        <v>0</v>
      </c>
      <c r="AC17" s="70">
        <f>IF(AC15=0,0,IF(AC11=0,0,(AC15/AC11)))</f>
        <v>229690.29684552108</v>
      </c>
    </row>
    <row r="18" spans="1:2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20" spans="1:29" ht="15" customHeight="1">
      <c r="A20" s="861" t="s">
        <v>28</v>
      </c>
      <c r="B20" s="862"/>
      <c r="C20" s="86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8"/>
    </row>
    <row r="21" spans="1:29" ht="15" customHeight="1">
      <c r="A21" s="863"/>
      <c r="B21" s="864"/>
      <c r="C21" s="864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20"/>
    </row>
    <row r="22" spans="1:29">
      <c r="A22" s="865" t="s">
        <v>0</v>
      </c>
      <c r="B22" s="865" t="s">
        <v>1</v>
      </c>
      <c r="C22" s="865" t="s">
        <v>2</v>
      </c>
      <c r="D22" s="860" t="s">
        <v>29</v>
      </c>
      <c r="E22" s="860"/>
      <c r="F22" s="860" t="s">
        <v>30</v>
      </c>
      <c r="G22" s="860"/>
      <c r="H22" s="860" t="s">
        <v>31</v>
      </c>
      <c r="I22" s="860"/>
      <c r="J22" s="858" t="s">
        <v>32</v>
      </c>
      <c r="K22" s="859"/>
      <c r="L22" s="858" t="s">
        <v>33</v>
      </c>
      <c r="M22" s="859"/>
      <c r="N22" s="858" t="s">
        <v>34</v>
      </c>
      <c r="O22" s="859"/>
      <c r="P22" s="858" t="s">
        <v>35</v>
      </c>
      <c r="Q22" s="859"/>
      <c r="R22" s="858" t="s">
        <v>36</v>
      </c>
      <c r="S22" s="859"/>
      <c r="T22" s="858" t="s">
        <v>37</v>
      </c>
      <c r="U22" s="859"/>
      <c r="V22" s="858" t="s">
        <v>38</v>
      </c>
      <c r="W22" s="859"/>
      <c r="X22" s="858" t="s">
        <v>39</v>
      </c>
      <c r="Y22" s="859"/>
      <c r="Z22" s="860" t="s">
        <v>40</v>
      </c>
      <c r="AA22" s="860"/>
      <c r="AB22" s="856" t="s">
        <v>55</v>
      </c>
      <c r="AC22" s="857"/>
    </row>
    <row r="23" spans="1:29">
      <c r="A23" s="866"/>
      <c r="B23" s="866"/>
      <c r="C23" s="867"/>
      <c r="D23" s="12" t="s">
        <v>26</v>
      </c>
      <c r="E23" s="13" t="s">
        <v>5</v>
      </c>
      <c r="F23" s="12" t="s">
        <v>26</v>
      </c>
      <c r="G23" s="13" t="s">
        <v>5</v>
      </c>
      <c r="H23" s="12" t="s">
        <v>26</v>
      </c>
      <c r="I23" s="13" t="s">
        <v>5</v>
      </c>
      <c r="J23" s="12" t="s">
        <v>26</v>
      </c>
      <c r="K23" s="13" t="s">
        <v>5</v>
      </c>
      <c r="L23" s="12" t="s">
        <v>26</v>
      </c>
      <c r="M23" s="13" t="s">
        <v>5</v>
      </c>
      <c r="N23" s="12" t="s">
        <v>26</v>
      </c>
      <c r="O23" s="13" t="s">
        <v>5</v>
      </c>
      <c r="P23" s="12" t="s">
        <v>26</v>
      </c>
      <c r="Q23" s="13" t="s">
        <v>5</v>
      </c>
      <c r="R23" s="12" t="s">
        <v>26</v>
      </c>
      <c r="S23" s="13" t="s">
        <v>5</v>
      </c>
      <c r="T23" s="12" t="s">
        <v>26</v>
      </c>
      <c r="U23" s="13" t="s">
        <v>5</v>
      </c>
      <c r="V23" s="12" t="s">
        <v>26</v>
      </c>
      <c r="W23" s="13" t="s">
        <v>5</v>
      </c>
      <c r="X23" s="12" t="s">
        <v>26</v>
      </c>
      <c r="Y23" s="13" t="s">
        <v>5</v>
      </c>
      <c r="Z23" s="12" t="s">
        <v>26</v>
      </c>
      <c r="AA23" s="13" t="s">
        <v>5</v>
      </c>
      <c r="AB23" s="12" t="s">
        <v>26</v>
      </c>
      <c r="AC23" s="13" t="s">
        <v>5</v>
      </c>
    </row>
    <row r="24" spans="1:29">
      <c r="A24" s="76">
        <v>10</v>
      </c>
      <c r="B24" s="76" t="s">
        <v>57</v>
      </c>
      <c r="C24" s="76" t="s">
        <v>8</v>
      </c>
      <c r="D24" s="71">
        <f>[4]BDD!$K$208 +[4]BDD!$K$217</f>
        <v>245935.42997356906</v>
      </c>
      <c r="E24" s="72">
        <f>[4]BDD!$K$29+[4]BDD!$K$38</f>
        <v>177638</v>
      </c>
      <c r="F24" s="71">
        <f>[4]BDD!$L$208+[4]BDD!$L$217</f>
        <v>355298.22756327316</v>
      </c>
      <c r="G24" s="72">
        <f>[4]BDD!$L$29+[4]BDD!$L$38</f>
        <v>177638</v>
      </c>
      <c r="H24" s="71">
        <f>[4]BDD!$M$208+[4]BDD!$M$217</f>
        <v>0</v>
      </c>
      <c r="I24" s="72">
        <f>[4]BDD!$M$29+[4]BDD!$M$38</f>
        <v>177638</v>
      </c>
      <c r="J24" s="71">
        <f>[4]BDD!$N$208+[4]BDD!$N$217</f>
        <v>0</v>
      </c>
      <c r="K24" s="72">
        <f>[4]BDD!$N$29+[4]BDD!$N$38</f>
        <v>0</v>
      </c>
      <c r="L24" s="71">
        <f>[4]BDD!$O$208+[4]BDD!$O$217</f>
        <v>0</v>
      </c>
      <c r="M24" s="72">
        <f>[4]BDD!$O$29+[4]BDD!$O$38</f>
        <v>0</v>
      </c>
      <c r="N24" s="71">
        <f>[4]BDD!$P$208+[4]BDD!$P$217</f>
        <v>0</v>
      </c>
      <c r="O24" s="72">
        <f>[4]BDD!$P$29+[4]BDD!$P$38</f>
        <v>0</v>
      </c>
      <c r="P24" s="71">
        <f>[4]BDD!$Q$208+[4]BDD!$Q$217</f>
        <v>0</v>
      </c>
      <c r="Q24" s="72">
        <f>[4]BDD!$Q$29+[4]BDD!$Q$38</f>
        <v>0</v>
      </c>
      <c r="R24" s="71">
        <f>[4]BDD!$R$208+[4]BDD!$R$217</f>
        <v>0</v>
      </c>
      <c r="S24" s="72">
        <f>[4]BDD!$R$29+[4]BDD!$R$38</f>
        <v>0</v>
      </c>
      <c r="T24" s="71">
        <f>[4]BDD!$S$208+[4]BDD!$S$217</f>
        <v>0</v>
      </c>
      <c r="U24" s="72">
        <f>[4]BDD!$S$29+[4]BDD!$S$38</f>
        <v>0</v>
      </c>
      <c r="V24" s="71">
        <f>[4]BDD!$T$208+[4]BDD!$T$217</f>
        <v>0</v>
      </c>
      <c r="W24" s="72">
        <f>[4]BDD!$T$29+[4]BDD!$T$38</f>
        <v>0</v>
      </c>
      <c r="X24" s="71">
        <f>[4]BDD!$U$208+[4]BDD!$U$217</f>
        <v>0</v>
      </c>
      <c r="Y24" s="72">
        <f>[4]BDD!$U$29+[4]BDD!$U$38</f>
        <v>0</v>
      </c>
      <c r="Z24" s="71">
        <f>[4]BDD!$V$208+[4]BDD!$V$217</f>
        <v>0</v>
      </c>
      <c r="AA24" s="72">
        <f>[4]BDD!$V$29+[4]BDD!$V$38</f>
        <v>0</v>
      </c>
      <c r="AB24" s="71">
        <f>[4]BDD!$W$208+[4]BDD!$W$217</f>
        <v>601233.65753684228</v>
      </c>
      <c r="AC24" s="72">
        <f>[4]BDD!$W$29+[4]BDD!$W$38</f>
        <v>532914</v>
      </c>
    </row>
    <row r="25" spans="1:29">
      <c r="A25" s="77">
        <v>11</v>
      </c>
      <c r="B25" s="77" t="s">
        <v>57</v>
      </c>
      <c r="C25" s="77" t="s">
        <v>9</v>
      </c>
      <c r="D25" s="73">
        <f>[4]BDD!$K$209+[4]BDD!$K$218</f>
        <v>840.77166051740892</v>
      </c>
      <c r="E25" s="74">
        <f>[4]BDD!$K$30+[4]BDD!$K$39</f>
        <v>803.5</v>
      </c>
      <c r="F25" s="73">
        <f>[4]BDD!$L$209+[4]BDD!$L$218</f>
        <v>855.81113292471412</v>
      </c>
      <c r="G25" s="74">
        <f>[4]BDD!$L$30+[4]BDD!$L$39</f>
        <v>877.47368421052636</v>
      </c>
      <c r="H25" s="73">
        <f>[4]BDD!$M$209+[4]BDD!$M$218</f>
        <v>0</v>
      </c>
      <c r="I25" s="74">
        <f>[4]BDD!$M$30+[4]BDD!$M$39</f>
        <v>885.89473684210532</v>
      </c>
      <c r="J25" s="73">
        <f>[4]BDD!$N$209+[4]BDD!$N$218</f>
        <v>0</v>
      </c>
      <c r="K25" s="74">
        <f>[4]BDD!$N$30+[4]BDD!$N$39</f>
        <v>0</v>
      </c>
      <c r="L25" s="73">
        <f>[4]BDD!$O$209+[4]BDD!$O$218</f>
        <v>0</v>
      </c>
      <c r="M25" s="74">
        <f>[4]BDD!$O$30+[4]BDD!$O$39</f>
        <v>0</v>
      </c>
      <c r="N25" s="73">
        <f>[4]BDD!$P$209+[4]BDD!$P$218</f>
        <v>0</v>
      </c>
      <c r="O25" s="74">
        <f>[4]BDD!$P$30+[4]BDD!$P$39</f>
        <v>0</v>
      </c>
      <c r="P25" s="73">
        <f>[4]BDD!$Q$209+[4]BDD!$Q$218</f>
        <v>0</v>
      </c>
      <c r="Q25" s="74">
        <f>[4]BDD!$Q$30+[4]BDD!$Q$39</f>
        <v>0</v>
      </c>
      <c r="R25" s="73">
        <f>[4]BDD!$R$209+[4]BDD!$R$218</f>
        <v>0</v>
      </c>
      <c r="S25" s="74">
        <f>[4]BDD!$R$30+[4]BDD!$R$39</f>
        <v>0</v>
      </c>
      <c r="T25" s="73">
        <f>[4]BDD!$S$209+[4]BDD!$S$218</f>
        <v>0</v>
      </c>
      <c r="U25" s="74">
        <f>[4]BDD!$S$30+[4]BDD!$S$39</f>
        <v>0</v>
      </c>
      <c r="V25" s="73">
        <f>[4]BDD!$T$209+[4]BDD!$T$218</f>
        <v>0</v>
      </c>
      <c r="W25" s="74">
        <f>[4]BDD!$T$30+[4]BDD!$T$39</f>
        <v>0</v>
      </c>
      <c r="X25" s="73">
        <f>[4]BDD!$U$209+[4]BDD!$U$218</f>
        <v>0</v>
      </c>
      <c r="Y25" s="74">
        <f>[4]BDD!$U$30+[4]BDD!$U$39</f>
        <v>0</v>
      </c>
      <c r="Z25" s="73">
        <f>[4]BDD!$V$209+[4]BDD!$V$218</f>
        <v>0</v>
      </c>
      <c r="AA25" s="74">
        <f>[4]BDD!$V$30+[4]BDD!$V$39</f>
        <v>0</v>
      </c>
      <c r="AB25" s="73">
        <f>[4]BDD!$W$209+[4]BDD!$W$218</f>
        <v>849.27223187805964</v>
      </c>
      <c r="AC25" s="74">
        <f>[4]BDD!$W$30+[4]BDD!$W$39</f>
        <v>857.90384615384619</v>
      </c>
    </row>
    <row r="26" spans="1:29">
      <c r="A26" s="77">
        <v>12</v>
      </c>
      <c r="B26" s="77" t="s">
        <v>57</v>
      </c>
      <c r="C26" s="77" t="s">
        <v>10</v>
      </c>
      <c r="D26" s="73">
        <f>[4]BDD!$K$210+[4]BDD!$K$219</f>
        <v>22.84726560770639</v>
      </c>
      <c r="E26" s="74">
        <f>[4]BDD!$K$31+[4]BDD!$K$40</f>
        <v>44.830852865163536</v>
      </c>
      <c r="F26" s="73">
        <f>[4]BDD!$L$210+[4]BDD!$L$219</f>
        <v>17.265971161746464</v>
      </c>
      <c r="G26" s="74">
        <f>[4]BDD!$L$31+[4]BDD!$L$40</f>
        <v>36.191423412578999</v>
      </c>
      <c r="H26" s="73">
        <f>[4]BDD!$M$210+[4]BDD!$M$219</f>
        <v>0</v>
      </c>
      <c r="I26" s="74">
        <f>[4]BDD!$M$31+[4]BDD!$M$40</f>
        <v>92.589448584202685</v>
      </c>
      <c r="J26" s="73">
        <f>[4]BDD!$N$210+[4]BDD!$N$219</f>
        <v>0</v>
      </c>
      <c r="K26" s="74">
        <f>[4]BDD!$N$31+[4]BDD!$N$40</f>
        <v>0</v>
      </c>
      <c r="L26" s="73">
        <f>[4]BDD!$O$210+[4]BDD!$O$219</f>
        <v>0</v>
      </c>
      <c r="M26" s="74">
        <f>[4]BDD!$O$31+[4]BDD!$O$40</f>
        <v>0</v>
      </c>
      <c r="N26" s="73">
        <f>[4]BDD!$P$210+[4]BDD!$P$219</f>
        <v>0</v>
      </c>
      <c r="O26" s="74">
        <f>[4]BDD!$Q$31+[4]BDD!$Q$40</f>
        <v>0</v>
      </c>
      <c r="P26" s="73">
        <f>[4]BDD!$P$210+[4]BDD!$P$219</f>
        <v>0</v>
      </c>
      <c r="Q26" s="74">
        <f>[4]BDD!$Q$31+[4]BDD!$Q$40</f>
        <v>0</v>
      </c>
      <c r="R26" s="73">
        <f>[4]BDD!$R$210+[4]BDD!$R$219</f>
        <v>0</v>
      </c>
      <c r="S26" s="74">
        <f>[4]BDD!$R$31+[4]BDD!$R$40</f>
        <v>0</v>
      </c>
      <c r="T26" s="73">
        <f>[4]BDD!$S$210+[4]BDD!$S$219</f>
        <v>0</v>
      </c>
      <c r="U26" s="74">
        <f>[4]BDD!$S$31+[4]BDD!$S$40</f>
        <v>0</v>
      </c>
      <c r="V26" s="73">
        <f>[4]BDD!$T$210+[4]BDD!$T$219</f>
        <v>0</v>
      </c>
      <c r="W26" s="74">
        <f>[4]BDD!$T$31+[4]BDD!$T$40</f>
        <v>0</v>
      </c>
      <c r="X26" s="73">
        <f>[4]BDD!$U$210+[4]BDD!$U$219</f>
        <v>0</v>
      </c>
      <c r="Y26" s="74">
        <f>[4]BDD!$U$31+[4]BDD!$U$40</f>
        <v>0</v>
      </c>
      <c r="Z26" s="73">
        <f>[4]BDD!$V$210+[4]BDD!$V$219</f>
        <v>0</v>
      </c>
      <c r="AA26" s="74">
        <f>[4]BDD!$V$31+[4]BDD!$V$40</f>
        <v>0</v>
      </c>
      <c r="AB26" s="73">
        <f>[4]BDD!$W$210+[4]BDD!$W$219</f>
        <v>19.668331995977251</v>
      </c>
      <c r="AC26" s="74">
        <f>[4]BDD!$W$31+[4]BDD!$W$40</f>
        <v>11.94579812153953</v>
      </c>
    </row>
    <row r="27" spans="1:29">
      <c r="A27" s="77">
        <v>13</v>
      </c>
      <c r="B27" s="77" t="s">
        <v>57</v>
      </c>
      <c r="C27" s="77" t="s">
        <v>11</v>
      </c>
      <c r="D27" s="73">
        <f>[4]BDD!$K$211+[4]BDD!$K$220</f>
        <v>53842.095540833179</v>
      </c>
      <c r="E27" s="74">
        <f>[4]BDD!$K$32+[4]BDD!$K$41</f>
        <v>36667</v>
      </c>
      <c r="F27" s="73">
        <f>[4]BDD!$L$211+[4]BDD!$L$220</f>
        <v>163204.8931305373</v>
      </c>
      <c r="G27" s="74">
        <f>[4]BDD!$L$32+[4]BDD!$L$41</f>
        <v>36667</v>
      </c>
      <c r="H27" s="73">
        <f>[4]BDD!$M$211+[4]BDD!$M$220</f>
        <v>0</v>
      </c>
      <c r="I27" s="74">
        <f>[4]BDD!$M$32+[4]BDD!$M$41</f>
        <v>36667</v>
      </c>
      <c r="J27" s="73">
        <f>[4]BDD!$N$211+[4]BDD!$N$220</f>
        <v>0</v>
      </c>
      <c r="K27" s="74">
        <f>[4]BDD!$N$32+[4]BDD!$N$41</f>
        <v>0</v>
      </c>
      <c r="L27" s="73">
        <f>[4]BDD!$O$211+[4]BDD!$O$220</f>
        <v>0</v>
      </c>
      <c r="M27" s="74">
        <f>[4]BDD!$O$32+[4]BDD!$O$41</f>
        <v>0</v>
      </c>
      <c r="N27" s="73">
        <f>[4]BDD!$P$211+[4]BDD!$P$220</f>
        <v>0</v>
      </c>
      <c r="O27" s="74">
        <f>[4]BDD!$P$32+[4]BDD!$P$41</f>
        <v>0</v>
      </c>
      <c r="P27" s="73">
        <f>[4]BDD!$Q$211+[4]BDD!$Q$220</f>
        <v>0</v>
      </c>
      <c r="Q27" s="74">
        <f>[4]BDD!$Q$32+[4]BDD!$Q$41</f>
        <v>0</v>
      </c>
      <c r="R27" s="73">
        <f>[4]BDD!$R$211+[4]BDD!$R$220</f>
        <v>0</v>
      </c>
      <c r="S27" s="74">
        <f>[4]BDD!$R$32+[4]BDD!$R$41</f>
        <v>0</v>
      </c>
      <c r="T27" s="73">
        <f>[4]BDD!$S$211+[4]BDD!$S$220</f>
        <v>0</v>
      </c>
      <c r="U27" s="74">
        <f>[4]BDD!$S$32+[4]BDD!$S$41</f>
        <v>0</v>
      </c>
      <c r="V27" s="73">
        <f>[4]BDD!$T$211+[4]BDD!$T$220</f>
        <v>0</v>
      </c>
      <c r="W27" s="74">
        <f>[4]BDD!$T$32+[4]BDD!$T$41</f>
        <v>0</v>
      </c>
      <c r="X27" s="73">
        <f>[4]BDD!$U$211+[4]BDD!$U$220</f>
        <v>0</v>
      </c>
      <c r="Y27" s="74">
        <f>[4]BDD!$U$32+[4]BDD!$U$41</f>
        <v>0</v>
      </c>
      <c r="Z27" s="73">
        <f>[4]BDD!$V$211+[4]BDD!$V$220</f>
        <v>0</v>
      </c>
      <c r="AA27" s="74">
        <f>[4]BDD!$V$32+[4]BDD!$V$41</f>
        <v>0</v>
      </c>
      <c r="AB27" s="73">
        <f>[4]BDD!$W$211+[4]BDD!$W$220</f>
        <v>217046.98867137049</v>
      </c>
      <c r="AC27" s="74">
        <f>[4]BDD!$W$32+[4]BDD!$W$41</f>
        <v>0</v>
      </c>
    </row>
    <row r="28" spans="1:29">
      <c r="A28" s="77">
        <v>14</v>
      </c>
      <c r="B28" s="77" t="s">
        <v>57</v>
      </c>
      <c r="C28" s="77" t="s">
        <v>56</v>
      </c>
      <c r="D28" s="73">
        <f>[4]BDD!$K$213+[4]BDD!$K$222</f>
        <v>102.38762147123914</v>
      </c>
      <c r="E28" s="74">
        <f>[4]BDD!$K$33+[4]BDD!$K$42</f>
        <v>14.5</v>
      </c>
      <c r="F28" s="73">
        <f>[4]BDD!$L$213+[4]BDD!$L$222</f>
        <v>116.26285400600553</v>
      </c>
      <c r="G28" s="74">
        <f>[4]BDD!$L$33+[4]BDD!$L$42</f>
        <v>8.5</v>
      </c>
      <c r="H28" s="73">
        <f>[4]BDD!$M$213+[4]BDD!$M$222</f>
        <v>0</v>
      </c>
      <c r="I28" s="74">
        <f>[4]BDD!$M$33+[4]BDD!$M$42</f>
        <v>27.333333333333332</v>
      </c>
      <c r="J28" s="73">
        <f>[4]BDD!$N$213+[4]BDD!$N$222</f>
        <v>0</v>
      </c>
      <c r="K28" s="74">
        <f>[4]BDD!$N$33+[4]BDD!$N$42</f>
        <v>0</v>
      </c>
      <c r="L28" s="73">
        <f>[4]BDD!$O$213+[4]BDD!$O$222</f>
        <v>0</v>
      </c>
      <c r="M28" s="74">
        <f>[4]BDD!$O$33+[4]BDD!$O$42</f>
        <v>0</v>
      </c>
      <c r="N28" s="73">
        <f>[4]BDD!$P$213+[4]BDD!$P$222</f>
        <v>0</v>
      </c>
      <c r="O28" s="74">
        <f>[4]BDD!$P$33+[4]BDD!$P$42</f>
        <v>0</v>
      </c>
      <c r="P28" s="73">
        <f>[4]BDD!$Q$213+[4]BDD!$Q$222</f>
        <v>0</v>
      </c>
      <c r="Q28" s="74">
        <f>[4]BDD!$Q$33+[4]BDD!$Q$42</f>
        <v>0</v>
      </c>
      <c r="R28" s="73">
        <f>[4]BDD!$R$213+[4]BDD!$R$222</f>
        <v>0</v>
      </c>
      <c r="S28" s="74">
        <f>[4]BDD!$R$33+[4]BDD!$R$42</f>
        <v>0</v>
      </c>
      <c r="T28" s="73">
        <f>[4]BDD!$S$213+[4]BDD!$S$222</f>
        <v>0</v>
      </c>
      <c r="U28" s="74">
        <f>[4]BDD!$S$33+[4]BDD!$S$42</f>
        <v>0</v>
      </c>
      <c r="V28" s="73">
        <f>[4]BDD!$T$213+[4]BDD!$T$222</f>
        <v>0</v>
      </c>
      <c r="W28" s="74">
        <f>[4]BDD!$T$33+[4]BDD!$T$42</f>
        <v>0</v>
      </c>
      <c r="X28" s="73">
        <f>[4]BDD!$U$213+[4]BDD!$U$222</f>
        <v>0</v>
      </c>
      <c r="Y28" s="74">
        <f>[4]BDD!$U$33+[4]BDD!$U$42</f>
        <v>0</v>
      </c>
      <c r="Z28" s="73">
        <f>[4]BDD!$V$213+[4]BDD!$V$222</f>
        <v>0</v>
      </c>
      <c r="AA28" s="74">
        <f>[4]BDD!$V$33+[4]BDD!$V$42</f>
        <v>0</v>
      </c>
      <c r="AB28" s="73">
        <f>[4]BDD!$W$213+[4]BDD!$W$222</f>
        <v>202.81456502405845</v>
      </c>
      <c r="AC28" s="74">
        <f>[4]BDD!$W$33+[4]BDD!$W$42</f>
        <v>0</v>
      </c>
    </row>
    <row r="29" spans="1:29">
      <c r="A29" s="77">
        <v>15</v>
      </c>
      <c r="B29" s="77" t="s">
        <v>57</v>
      </c>
      <c r="C29" s="77" t="s">
        <v>13</v>
      </c>
      <c r="D29" s="73">
        <f>[4]BDD!$K$212+[4]BDD!$K$221</f>
        <v>1133.3333333333333</v>
      </c>
      <c r="E29" s="74">
        <f>[4]BDD!$K$34+[4]BDD!$K$43</f>
        <v>0</v>
      </c>
      <c r="F29" s="73">
        <f>[4]BDD!$L$212+[4]BDD!$L$221</f>
        <v>1145.1111111111111</v>
      </c>
      <c r="G29" s="74">
        <f>[4]BDD!$L$34+[4]BDD!$L$43</f>
        <v>0</v>
      </c>
      <c r="H29" s="73">
        <f>[4]BDD!$M$212+[4]BDD!$M$221</f>
        <v>0</v>
      </c>
      <c r="I29" s="74">
        <f>[4]BDD!$M$34+[4]BDD!$M$43</f>
        <v>0</v>
      </c>
      <c r="J29" s="73">
        <f>[4]BDD!$N$212+[4]BDD!$N$221</f>
        <v>0</v>
      </c>
      <c r="K29" s="74">
        <f>[4]BDD!$N$34+[4]BDD!$N$43</f>
        <v>0</v>
      </c>
      <c r="L29" s="73">
        <f>[4]BDD!$O$212+[4]BDD!$O$221</f>
        <v>0</v>
      </c>
      <c r="M29" s="74">
        <f>[4]BDD!$O$34+[4]BDD!$O$43</f>
        <v>0</v>
      </c>
      <c r="N29" s="73">
        <f>[4]BDD!$P$212+[4]BDD!$P$221</f>
        <v>0</v>
      </c>
      <c r="O29" s="74">
        <f>[4]BDD!$P$34+[4]BDD!$P$43</f>
        <v>0</v>
      </c>
      <c r="P29" s="73">
        <f>[4]BDD!$Q$212+[4]BDD!$Q$221</f>
        <v>0</v>
      </c>
      <c r="Q29" s="74">
        <f>[4]BDD!$Q$34+[4]BDD!$Q$43</f>
        <v>0</v>
      </c>
      <c r="R29" s="73">
        <f>[4]BDD!$R$212+[4]BDD!$R$221</f>
        <v>0</v>
      </c>
      <c r="S29" s="74">
        <f>[4]BDD!$R$34+[4]BDD!$R$43</f>
        <v>0</v>
      </c>
      <c r="T29" s="73">
        <f>[4]BDD!$S$212+[4]BDD!$S$221</f>
        <v>0</v>
      </c>
      <c r="U29" s="74">
        <f>[4]BDD!$S$34+[4]BDD!$S$43</f>
        <v>0</v>
      </c>
      <c r="V29" s="73">
        <f>[4]BDD!$T$212+[4]BDD!$T$221</f>
        <v>0</v>
      </c>
      <c r="W29" s="74">
        <f>[4]BDD!$T$34+[4]BDD!$T$43</f>
        <v>0</v>
      </c>
      <c r="X29" s="73">
        <f>[4]BDD!$U$212+[4]BDD!$U$221</f>
        <v>0</v>
      </c>
      <c r="Y29" s="74">
        <f>[4]BDD!$U$34+[4]BDD!$U$43</f>
        <v>0</v>
      </c>
      <c r="Z29" s="73">
        <f>[4]BDD!$V$212+[4]BDD!$V$221</f>
        <v>0</v>
      </c>
      <c r="AA29" s="74">
        <f>[4]BDD!$V$34+[4]BDD!$V$43</f>
        <v>0</v>
      </c>
      <c r="AB29" s="73">
        <f>[4]BDD!$W$212+[4]BDD!$W$221</f>
        <v>1142.1666666666667</v>
      </c>
      <c r="AC29" s="74">
        <f>[4]BDD!$W$34+[4]BDD!$W$43</f>
        <v>0</v>
      </c>
    </row>
    <row r="30" spans="1:29">
      <c r="A30" s="77">
        <v>16</v>
      </c>
      <c r="B30" s="77" t="s">
        <v>57</v>
      </c>
      <c r="C30" s="77" t="s">
        <v>14</v>
      </c>
      <c r="D30" s="73">
        <f>[4]BDD!$K$214+[4]BDD!$K$223</f>
        <v>2566.9676566724333</v>
      </c>
      <c r="E30" s="74">
        <f>[4]BDD!$K$35+[4]BDD!$K$44</f>
        <v>0</v>
      </c>
      <c r="F30" s="73">
        <f>[4]BDD!$L$214+[4]BDD!$L$223</f>
        <v>2847.4248261232374</v>
      </c>
      <c r="G30" s="74">
        <f>[4]BDD!$L$35+[4]BDD!$L$44</f>
        <v>0</v>
      </c>
      <c r="H30" s="73">
        <f>[4]BDD!$M$214+[4]BDD!$M$223</f>
        <v>0</v>
      </c>
      <c r="I30" s="74">
        <f>[4]BDD!$M$35+[4]BDD!$M$44</f>
        <v>0</v>
      </c>
      <c r="J30" s="73">
        <f>[4]BDD!$N$214+[4]BDD!$N$223</f>
        <v>0</v>
      </c>
      <c r="K30" s="74">
        <f>[4]BDD!$N$35+[4]BDD!$N$44</f>
        <v>0</v>
      </c>
      <c r="L30" s="73">
        <f>[4]BDD!$O$214+[4]BDD!$O$223</f>
        <v>0</v>
      </c>
      <c r="M30" s="74">
        <f>[4]BDD!$O$35+[4]BDD!$O$44</f>
        <v>0</v>
      </c>
      <c r="N30" s="73">
        <f>[4]BDD!$P$214+[4]BDD!$P$223</f>
        <v>0</v>
      </c>
      <c r="O30" s="74">
        <f>[4]BDD!$P$35+[4]BDD!$P$44</f>
        <v>0</v>
      </c>
      <c r="P30" s="73">
        <f>[4]BDD!$Q$214+[4]BDD!$Q$223</f>
        <v>0</v>
      </c>
      <c r="Q30" s="74">
        <f>[4]BDD!$Q$35+[4]BDD!$Q$44</f>
        <v>0</v>
      </c>
      <c r="R30" s="73">
        <f>[4]BDD!$R$214+[4]BDD!$R$223</f>
        <v>0</v>
      </c>
      <c r="S30" s="74">
        <f>[4]BDD!$R$35+[4]BDD!$R$44</f>
        <v>0</v>
      </c>
      <c r="T30" s="73">
        <f>[4]BDD!$S$214+[4]BDD!$S$223</f>
        <v>0</v>
      </c>
      <c r="U30" s="74">
        <f>[4]BDD!$S$35+[4]BDD!$S$44</f>
        <v>0</v>
      </c>
      <c r="V30" s="73">
        <f>[4]BDD!$T$214+[4]BDD!$T$223</f>
        <v>0</v>
      </c>
      <c r="W30" s="74">
        <f>[4]BDD!$T$35+[4]BDD!$T$44</f>
        <v>0</v>
      </c>
      <c r="X30" s="73">
        <f>[4]BDD!$U$214+[4]BDD!$U$223</f>
        <v>0</v>
      </c>
      <c r="Y30" s="74">
        <f>[4]BDD!$U$35+[4]BDD!$U$44</f>
        <v>0</v>
      </c>
      <c r="Z30" s="73">
        <f>[4]BDD!$V$214+[4]BDD!$V$223</f>
        <v>0</v>
      </c>
      <c r="AA30" s="74">
        <f>[4]BDD!$V$35+[4]BDD!$V$44</f>
        <v>0</v>
      </c>
      <c r="AB30" s="73">
        <f>[4]BDD!$W$214+[4]BDD!$W$223</f>
        <v>5414.3924827956707</v>
      </c>
      <c r="AC30" s="74">
        <f>[4]BDD!$W$35+[4]BDD!$W$44</f>
        <v>0</v>
      </c>
    </row>
    <row r="31" spans="1:29">
      <c r="A31" s="77">
        <v>17</v>
      </c>
      <c r="B31" s="77" t="s">
        <v>57</v>
      </c>
      <c r="C31" s="77" t="s">
        <v>15</v>
      </c>
      <c r="D31" s="73">
        <f>IF(D26=0,0,IF(D25=0,0,(D26/D25)))</f>
        <v>2.7174162356574001E-2</v>
      </c>
      <c r="E31" s="74">
        <f>IF(E25=0,0,IF(E26=0,0,(E26/E25)))</f>
        <v>5.5794465295785356E-2</v>
      </c>
      <c r="F31" s="73">
        <f>IF(F26=0,0,IF(F25=0,0,(F26/F25)))</f>
        <v>2.0174978447336178E-2</v>
      </c>
      <c r="G31" s="74">
        <f>IF(G25=0,0,IF(G26=0,0,(G26/G25)))</f>
        <v>4.1245024282569633E-2</v>
      </c>
      <c r="H31" s="73">
        <f>IF(H26=0,0,IF(H25=0,0,(H26/H25)))</f>
        <v>0</v>
      </c>
      <c r="I31" s="74">
        <f>IF(I25=0,0,IF(I26=0,0,(I26/I25)))</f>
        <v>0.10451518079252917</v>
      </c>
      <c r="J31" s="73">
        <f>IF(J26=0,0,IF(J25=0,0,(J26/J25)))</f>
        <v>0</v>
      </c>
      <c r="K31" s="74">
        <f>IF(K25=0,0,IF(K26=0,0,(K26/K25)))</f>
        <v>0</v>
      </c>
      <c r="L31" s="73">
        <f>IF(L26=0,0,IF(L25=0,0,(L26/L25)))</f>
        <v>0</v>
      </c>
      <c r="M31" s="74">
        <f>IF(M25=0,0,IF(M26=0,0,(M26/M25)))</f>
        <v>0</v>
      </c>
      <c r="N31" s="73">
        <f>IF(N26=0,0,IF(N25=0,0,(N26/N25)))</f>
        <v>0</v>
      </c>
      <c r="O31" s="74">
        <f>IF(O25=0,0,IF(O26=0,0,(O26/O25)))</f>
        <v>0</v>
      </c>
      <c r="P31" s="73">
        <f>IF(P26=0,0,IF(P25=0,0,(P26/P25)))</f>
        <v>0</v>
      </c>
      <c r="Q31" s="74">
        <f>IF(Q25=0,0,IF(Q26=0,0,(Q26/Q25)))</f>
        <v>0</v>
      </c>
      <c r="R31" s="73">
        <f>IF(R26=0,0,IF(R25=0,0,(R26/R25)))</f>
        <v>0</v>
      </c>
      <c r="S31" s="74">
        <f>IF(S25=0,0,IF(S26=0,0,(S26/S25)))</f>
        <v>0</v>
      </c>
      <c r="T31" s="73">
        <f>IF(T26=0,0,IF(T25=0,0,(T26/T25)))</f>
        <v>0</v>
      </c>
      <c r="U31" s="74">
        <f>IF(U25=0,0,IF(U26=0,0,(U26/U25)))</f>
        <v>0</v>
      </c>
      <c r="V31" s="73">
        <f>IF(V26=0,0,IF(V25=0,0,(V26/V25)))</f>
        <v>0</v>
      </c>
      <c r="W31" s="74">
        <f>IF(W25=0,0,IF(W26=0,0,(W26/W25)))</f>
        <v>0</v>
      </c>
      <c r="X31" s="73">
        <f>IF(X26=0,0,IF(X25=0,0,(X26/X25)))</f>
        <v>0</v>
      </c>
      <c r="Y31" s="74">
        <f>IF(Y25=0,0,IF(Y26=0,0,(Y26/Y25)))</f>
        <v>0</v>
      </c>
      <c r="Z31" s="73">
        <f>IF(Z26=0,0,IF(Z25=0,0,(Z26/Z25)))</f>
        <v>0</v>
      </c>
      <c r="AA31" s="74">
        <f>IF(AA25=0,0,IF(AA26=0,0,(AA26/AA25)))</f>
        <v>0</v>
      </c>
      <c r="AB31" s="73">
        <f>IF(AB26=0,0,IF(AB25=0,0,(AB26/AB25)))</f>
        <v>2.3159042834219584E-2</v>
      </c>
      <c r="AC31" s="74">
        <f>IF(AC25=0,0,IF(AC26=0,0,(AC26/AC25)))</f>
        <v>1.3924402105311595E-2</v>
      </c>
    </row>
    <row r="32" spans="1:29">
      <c r="A32" s="78">
        <v>18</v>
      </c>
      <c r="B32" s="78" t="s">
        <v>57</v>
      </c>
      <c r="C32" s="78" t="s">
        <v>16</v>
      </c>
      <c r="D32" s="674">
        <f t="shared" ref="D32:J32" si="1">IF(D26=0,0,IF(D30=0,0,(D30/D26)))</f>
        <v>112.35338621032157</v>
      </c>
      <c r="E32" s="673">
        <f t="shared" si="1"/>
        <v>0</v>
      </c>
      <c r="F32" s="674">
        <f t="shared" si="1"/>
        <v>164.91541654093777</v>
      </c>
      <c r="G32" s="673">
        <f t="shared" si="1"/>
        <v>0</v>
      </c>
      <c r="H32" s="674">
        <f t="shared" si="1"/>
        <v>0</v>
      </c>
      <c r="I32" s="673">
        <f t="shared" si="1"/>
        <v>0</v>
      </c>
      <c r="J32" s="674">
        <f t="shared" si="1"/>
        <v>0</v>
      </c>
      <c r="K32" s="673">
        <f>IF(K30=0,0,IF(K26=0,0,(K30/K26)))</f>
        <v>0</v>
      </c>
      <c r="L32" s="674">
        <f>IF(L26=0,0,IF(L30=0,0,(L30/L26)))</f>
        <v>0</v>
      </c>
      <c r="M32" s="673">
        <f>IF(M30=0,0,IF(M26=0,0,(M30/M26)))</f>
        <v>0</v>
      </c>
      <c r="N32" s="674">
        <f t="shared" ref="N32:AC32" si="2">IF(N26=0,0,IF(N30=0,0,(N30/N26)))</f>
        <v>0</v>
      </c>
      <c r="O32" s="673">
        <f t="shared" si="2"/>
        <v>0</v>
      </c>
      <c r="P32" s="674">
        <f t="shared" si="2"/>
        <v>0</v>
      </c>
      <c r="Q32" s="673">
        <f t="shared" si="2"/>
        <v>0</v>
      </c>
      <c r="R32" s="674">
        <f t="shared" si="2"/>
        <v>0</v>
      </c>
      <c r="S32" s="673">
        <f t="shared" si="2"/>
        <v>0</v>
      </c>
      <c r="T32" s="674">
        <f t="shared" si="2"/>
        <v>0</v>
      </c>
      <c r="U32" s="673">
        <f t="shared" si="2"/>
        <v>0</v>
      </c>
      <c r="V32" s="674">
        <f t="shared" si="2"/>
        <v>0</v>
      </c>
      <c r="W32" s="673">
        <f t="shared" si="2"/>
        <v>0</v>
      </c>
      <c r="X32" s="674">
        <f t="shared" si="2"/>
        <v>0</v>
      </c>
      <c r="Y32" s="673">
        <f t="shared" si="2"/>
        <v>0</v>
      </c>
      <c r="Z32" s="674">
        <f t="shared" si="2"/>
        <v>0</v>
      </c>
      <c r="AA32" s="673">
        <f t="shared" si="2"/>
        <v>0</v>
      </c>
      <c r="AB32" s="674">
        <f t="shared" si="2"/>
        <v>275.28478184642563</v>
      </c>
      <c r="AC32" s="673">
        <f t="shared" si="2"/>
        <v>0</v>
      </c>
    </row>
    <row r="33" spans="1:29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5" spans="1:29" ht="15" customHeight="1">
      <c r="A35" s="861" t="s">
        <v>21</v>
      </c>
      <c r="B35" s="862"/>
      <c r="C35" s="862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8"/>
    </row>
    <row r="36" spans="1:29" ht="15" customHeight="1">
      <c r="A36" s="863"/>
      <c r="B36" s="864"/>
      <c r="C36" s="864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20"/>
    </row>
    <row r="37" spans="1:29">
      <c r="A37" s="865" t="s">
        <v>0</v>
      </c>
      <c r="B37" s="865" t="s">
        <v>1</v>
      </c>
      <c r="C37" s="865" t="s">
        <v>2</v>
      </c>
      <c r="D37" s="860" t="s">
        <v>29</v>
      </c>
      <c r="E37" s="860"/>
      <c r="F37" s="860" t="s">
        <v>30</v>
      </c>
      <c r="G37" s="860"/>
      <c r="H37" s="860" t="s">
        <v>31</v>
      </c>
      <c r="I37" s="860"/>
      <c r="J37" s="858" t="s">
        <v>32</v>
      </c>
      <c r="K37" s="859"/>
      <c r="L37" s="858" t="s">
        <v>33</v>
      </c>
      <c r="M37" s="859"/>
      <c r="N37" s="858" t="s">
        <v>34</v>
      </c>
      <c r="O37" s="859"/>
      <c r="P37" s="858" t="s">
        <v>35</v>
      </c>
      <c r="Q37" s="859"/>
      <c r="R37" s="858" t="s">
        <v>36</v>
      </c>
      <c r="S37" s="859"/>
      <c r="T37" s="858" t="s">
        <v>37</v>
      </c>
      <c r="U37" s="859"/>
      <c r="V37" s="858" t="s">
        <v>38</v>
      </c>
      <c r="W37" s="859"/>
      <c r="X37" s="858" t="s">
        <v>39</v>
      </c>
      <c r="Y37" s="859"/>
      <c r="Z37" s="860" t="s">
        <v>40</v>
      </c>
      <c r="AA37" s="860"/>
      <c r="AB37" s="856" t="s">
        <v>55</v>
      </c>
      <c r="AC37" s="857"/>
    </row>
    <row r="38" spans="1:29">
      <c r="A38" s="866"/>
      <c r="B38" s="866"/>
      <c r="C38" s="867"/>
      <c r="D38" s="12" t="s">
        <v>26</v>
      </c>
      <c r="E38" s="13" t="s">
        <v>5</v>
      </c>
      <c r="F38" s="12" t="s">
        <v>26</v>
      </c>
      <c r="G38" s="13" t="s">
        <v>5</v>
      </c>
      <c r="H38" s="12" t="s">
        <v>26</v>
      </c>
      <c r="I38" s="13" t="s">
        <v>5</v>
      </c>
      <c r="J38" s="12" t="s">
        <v>26</v>
      </c>
      <c r="K38" s="13" t="s">
        <v>5</v>
      </c>
      <c r="L38" s="12" t="s">
        <v>26</v>
      </c>
      <c r="M38" s="13" t="s">
        <v>5</v>
      </c>
      <c r="N38" s="12" t="s">
        <v>26</v>
      </c>
      <c r="O38" s="13" t="s">
        <v>5</v>
      </c>
      <c r="P38" s="12" t="s">
        <v>26</v>
      </c>
      <c r="Q38" s="13" t="s">
        <v>5</v>
      </c>
      <c r="R38" s="12" t="s">
        <v>26</v>
      </c>
      <c r="S38" s="13" t="s">
        <v>5</v>
      </c>
      <c r="T38" s="12" t="s">
        <v>26</v>
      </c>
      <c r="U38" s="13" t="s">
        <v>5</v>
      </c>
      <c r="V38" s="12" t="s">
        <v>26</v>
      </c>
      <c r="W38" s="13" t="s">
        <v>5</v>
      </c>
      <c r="X38" s="12" t="s">
        <v>26</v>
      </c>
      <c r="Y38" s="13" t="s">
        <v>5</v>
      </c>
      <c r="Z38" s="12" t="s">
        <v>26</v>
      </c>
      <c r="AA38" s="13" t="s">
        <v>5</v>
      </c>
      <c r="AB38" s="12" t="s">
        <v>26</v>
      </c>
      <c r="AC38" s="13" t="s">
        <v>5</v>
      </c>
    </row>
    <row r="39" spans="1:29">
      <c r="A39" s="76"/>
      <c r="B39" s="79"/>
      <c r="C39" s="80" t="s">
        <v>22</v>
      </c>
      <c r="D39" s="65">
        <f>[4]BDD!$K$260+[4]BDD!$K$267+[4]BDD!$K$281+[4]BDD!$K$288</f>
        <v>115.87223873432833</v>
      </c>
      <c r="E39" s="98">
        <f>[4]BDD!$K$112+[4]BDD!$K$119+[4]BDD!$K$133+[4]BDD!$K$140</f>
        <v>109.36399255205967</v>
      </c>
      <c r="F39" s="65">
        <f>D39</f>
        <v>115.87223873432833</v>
      </c>
      <c r="G39" s="64">
        <f>[4]BDD!$L$112+[4]BDD!$L$119+[4]BDD!$L$133+[4]BDD!$L$140</f>
        <v>96.343934231783393</v>
      </c>
      <c r="H39" s="65">
        <f>D39</f>
        <v>115.87223873432833</v>
      </c>
      <c r="I39" s="64">
        <f>[4]BDD!$M$112+[4]BDD!$M$119+[4]BDD!$M$133+[4]BDD!$M$140</f>
        <v>106.73123540158613</v>
      </c>
      <c r="J39" s="65">
        <f>D39</f>
        <v>115.87223873432833</v>
      </c>
      <c r="K39" s="64">
        <f>[4]BDD!$N$112+[4]BDD!$N$119+[4]BDD!$N$133+[4]BDD!$N$140</f>
        <v>0</v>
      </c>
      <c r="L39" s="65">
        <f>D39</f>
        <v>115.87223873432833</v>
      </c>
      <c r="M39" s="64">
        <f>[4]BDD!$O$112+[4]BDD!$O$119+[4]BDD!$O$133+[4]BDD!$O$140</f>
        <v>0</v>
      </c>
      <c r="N39" s="65">
        <f>D39</f>
        <v>115.87223873432833</v>
      </c>
      <c r="O39" s="64">
        <f>[4]BDD!$P$112+[4]BDD!$P$119+[4]BDD!$P$133+[4]BDD!$P$140</f>
        <v>0</v>
      </c>
      <c r="P39" s="65">
        <f>D39</f>
        <v>115.87223873432833</v>
      </c>
      <c r="Q39" s="64">
        <f>[4]BDD!$Q$112+[4]BDD!$Q$119+[4]BDD!$Q$133+[4]BDD!$Q$140</f>
        <v>0</v>
      </c>
      <c r="R39" s="65">
        <f>D39</f>
        <v>115.87223873432833</v>
      </c>
      <c r="S39" s="64">
        <f>[4]BDD!$R$112+[4]BDD!$R$119+[4]BDD!$R$133+[4]BDD!$R$140</f>
        <v>0</v>
      </c>
      <c r="T39" s="65">
        <f>D39</f>
        <v>115.87223873432833</v>
      </c>
      <c r="U39" s="64">
        <f>[4]BDD!$S$112+[4]BDD!$S$119+[4]BDD!$S$133+[4]BDD!$S$140</f>
        <v>0</v>
      </c>
      <c r="V39" s="65">
        <f>D39</f>
        <v>115.87223873432833</v>
      </c>
      <c r="W39" s="64">
        <f>[4]BDD!$T$112+[4]BDD!$T$119+[4]BDD!$T$133+[4]BDD!$T$140</f>
        <v>0</v>
      </c>
      <c r="X39" s="65">
        <f>D39</f>
        <v>115.87223873432833</v>
      </c>
      <c r="Y39" s="64">
        <f>[4]BDD!$U$112+[4]BDD!$U$119+[4]BDD!$U$133+[4]BDD!$U$140</f>
        <v>0</v>
      </c>
      <c r="Z39" s="65">
        <f>D39</f>
        <v>115.87223873432833</v>
      </c>
      <c r="AA39" s="64">
        <f>[4]BDD!$V$112+[4]BDD!$V$119+[4]BDD!$V$133+[4]BDD!$V$140</f>
        <v>0</v>
      </c>
      <c r="AB39" s="65">
        <f>[4]BDD!$W$260+[4]BDD!$W$267+[4]BDD!$W$281+[4]BDD!$W$288</f>
        <v>116.04438858536099</v>
      </c>
      <c r="AC39" s="64">
        <f>[4]BDD!$W$112+[4]BDD!$W$119+[4]BDD!$W$133+[4]BDD!$W$140</f>
        <v>154.95429098379626</v>
      </c>
    </row>
    <row r="40" spans="1:29">
      <c r="A40" s="77"/>
      <c r="B40" s="81"/>
      <c r="C40" s="82" t="s">
        <v>10</v>
      </c>
      <c r="D40" s="67">
        <f>[4]BDD!$K$261+[4]BDD!$K$268+[4]BDD!$K$282+[4]BDD!$K$289</f>
        <v>116.47763503307306</v>
      </c>
      <c r="E40" s="68">
        <f>[4]BDD!$K$113+[4]BDD!$K$120+[4]BDD!$K$134+[4]BDD!$K$141</f>
        <v>294.47736671231172</v>
      </c>
      <c r="F40" s="67">
        <f>D40</f>
        <v>116.47763503307306</v>
      </c>
      <c r="G40" s="68">
        <f>[4]BDD!$L$113+[4]BDD!$L$120+[4]BDD!$L$134+[4]BDD!$L$141</f>
        <v>477.89579987951799</v>
      </c>
      <c r="H40" s="67">
        <f>D40</f>
        <v>116.47763503307306</v>
      </c>
      <c r="I40" s="68">
        <f>[4]BDD!$M$113+[4]BDD!$M$120+[4]BDD!$M$134+[4]BDD!$M$141</f>
        <v>123.53278369068408</v>
      </c>
      <c r="J40" s="67">
        <f>D40</f>
        <v>116.47763503307306</v>
      </c>
      <c r="K40" s="68">
        <f>[4]BDD!$N$113+[4]BDD!$N$120+[4]BDD!$N$134+[4]BDD!$N$141</f>
        <v>0</v>
      </c>
      <c r="L40" s="67">
        <f>D40</f>
        <v>116.47763503307306</v>
      </c>
      <c r="M40" s="68">
        <f>[4]BDD!$O$113+[4]BDD!$O$120+[4]BDD!$O$134+[4]BDD!$O$141</f>
        <v>0</v>
      </c>
      <c r="N40" s="67">
        <f>D40</f>
        <v>116.47763503307306</v>
      </c>
      <c r="O40" s="68">
        <f>[4]BDD!$P$113+[4]BDD!$P$134+[4]BDD!$P$141+[4]BDD!$P$120</f>
        <v>0</v>
      </c>
      <c r="P40" s="67">
        <f>D40</f>
        <v>116.47763503307306</v>
      </c>
      <c r="Q40" s="68">
        <f>[4]BDD!$Q$113+[4]BDD!$Q$120+[4]BDD!$Q$134+[4]BDD!$Q$141</f>
        <v>0</v>
      </c>
      <c r="R40" s="67">
        <f>D40</f>
        <v>116.47763503307306</v>
      </c>
      <c r="S40" s="68">
        <f>[4]BDD!$R$113+[4]BDD!$R$120+[4]BDD!$R$134+[4]BDD!$R$141</f>
        <v>0</v>
      </c>
      <c r="T40" s="67">
        <f>D40</f>
        <v>116.47763503307306</v>
      </c>
      <c r="U40" s="68">
        <f>[4]BDD!$S$113+[4]BDD!$S$120+[4]BDD!$S$134+[4]BDD!$S$141</f>
        <v>0</v>
      </c>
      <c r="V40" s="67">
        <f>D40</f>
        <v>116.47763503307306</v>
      </c>
      <c r="W40" s="68">
        <f>[4]BDD!$T$113+[4]BDD!$T$120+[4]BDD!$T$134+[4]BDD!$T$141</f>
        <v>0</v>
      </c>
      <c r="X40" s="67">
        <f>D40</f>
        <v>116.47763503307306</v>
      </c>
      <c r="Y40" s="68">
        <f>[4]BDD!$U$113+[4]BDD!$U$120+[4]BDD!$U$134+[4]BDD!$U$141</f>
        <v>0</v>
      </c>
      <c r="Z40" s="67">
        <f>D40</f>
        <v>116.47763503307306</v>
      </c>
      <c r="AA40" s="68">
        <f>[4]BDD!$V$113+[4]BDD!$V$120+[4]BDD!$V$134+[4]BDD!$V$141</f>
        <v>0</v>
      </c>
      <c r="AB40" s="67">
        <f>[4]BDD!$W$261+[4]BDD!$W$282+[4]BDD!$W$268+[4]BDD!$W$289</f>
        <v>96.476551969603378</v>
      </c>
      <c r="AC40" s="68">
        <f>[4]BDD!$W$113+[4]BDD!$W$120+[4]BDD!$W$134+[4]BDD!$W$141</f>
        <v>220.89358276543243</v>
      </c>
    </row>
    <row r="41" spans="1:29">
      <c r="A41" s="77"/>
      <c r="B41" s="81"/>
      <c r="C41" s="82" t="s">
        <v>23</v>
      </c>
      <c r="D41" s="67">
        <f>[4]BDD!$K$262+[4]BDD!$K$269+[4]BDD!$K$283+[4]BDD!$K$290</f>
        <v>883</v>
      </c>
      <c r="E41" s="68">
        <f>[4]BDD!$K$114+[4]BDD!$K$121+[4]BDD!$K$135+[4]BDD!$K$142</f>
        <v>895.75</v>
      </c>
      <c r="F41" s="67">
        <f>D41</f>
        <v>883</v>
      </c>
      <c r="G41" s="68">
        <f>[4]BDD!$L$114+[4]BDD!$L$121+[4]BDD!$L$135+[4]BDD!$L$142</f>
        <v>1012.84</v>
      </c>
      <c r="H41" s="67">
        <f>D41</f>
        <v>883</v>
      </c>
      <c r="I41" s="68">
        <f>[4]BDD!$M$114+[4]BDD!$M$121+[4]BDD!$M$135+[4]BDD!$M$142</f>
        <v>1747.79</v>
      </c>
      <c r="J41" s="67">
        <f>D41</f>
        <v>883</v>
      </c>
      <c r="K41" s="68">
        <f>[4]BDD!$N$114+[4]BDD!$N$121+[4]BDD!$N$135+[4]BDD!$N$142</f>
        <v>0</v>
      </c>
      <c r="L41" s="67">
        <f>D41</f>
        <v>883</v>
      </c>
      <c r="M41" s="68">
        <f>[4]BDD!$O$114+[4]BDD!$O$121+[4]BDD!$O$135+[4]BDD!$O$142</f>
        <v>0</v>
      </c>
      <c r="N41" s="67">
        <f>D41</f>
        <v>883</v>
      </c>
      <c r="O41" s="68">
        <f>[4]BDD!$P$114+[4]BDD!$P$121+[4]BDD!$P$135+[4]BDD!$P$142</f>
        <v>0</v>
      </c>
      <c r="P41" s="67">
        <f>D41</f>
        <v>883</v>
      </c>
      <c r="Q41" s="68">
        <f>[4]BDD!$Q$114+[4]BDD!$Q$121+[4]BDD!$Q$135+[4]BDD!$Q$142</f>
        <v>0</v>
      </c>
      <c r="R41" s="67">
        <f>D41</f>
        <v>883</v>
      </c>
      <c r="S41" s="68">
        <f>[4]BDD!$R$114+[4]BDD!$R$121+[4]BDD!$R$135+[4]BDD!$R$142</f>
        <v>0</v>
      </c>
      <c r="T41" s="67">
        <f>D41</f>
        <v>883</v>
      </c>
      <c r="U41" s="68">
        <f>[4]BDD!$S$114+[4]BDD!$S$121+[4]BDD!$S$135+[4]BDD!$S$142</f>
        <v>0</v>
      </c>
      <c r="V41" s="67">
        <f>D41</f>
        <v>883</v>
      </c>
      <c r="W41" s="68">
        <f>[4]BDD!$T$114+[4]BDD!$T$121+[4]BDD!$T$135+[4]BDD!$T$142</f>
        <v>0</v>
      </c>
      <c r="X41" s="67">
        <f>D41</f>
        <v>883</v>
      </c>
      <c r="Y41" s="68">
        <f>[4]BDD!$U$114+[4]BDD!$U$121+[4]BDD!$U$135+[4]BDD!$U$142</f>
        <v>0</v>
      </c>
      <c r="Z41" s="67">
        <f>D41</f>
        <v>883</v>
      </c>
      <c r="AA41" s="68">
        <f>[4]BDD!$V$114+[4]BDD!$V$121+[4]BDD!$V$135+[4]BDD!$V$142</f>
        <v>0</v>
      </c>
      <c r="AB41" s="67">
        <f>[4]BDD!$W$262+[4]BDD!$W$269+[4]BDD!$W$283+[4]BDD!$W$290</f>
        <v>1974</v>
      </c>
      <c r="AC41" s="68">
        <f>[4]BDD!$X$114+[4]BDD!$X$121+[4]BDD!$X$135+[4]BDD!$X$142</f>
        <v>3656.38</v>
      </c>
    </row>
    <row r="42" spans="1:29">
      <c r="A42" s="77"/>
      <c r="B42" s="81"/>
      <c r="C42" s="82" t="s">
        <v>24</v>
      </c>
      <c r="D42" s="67">
        <f>[4]BDD!$K$263+[4]BDD!$K$270+[4]BDD!$K$284+[4]BDD!$K$291</f>
        <v>44616.528879708771</v>
      </c>
      <c r="E42" s="68">
        <f>[4]BDD!$K$115+[4]BDD!$K$122+[4]BDD!$K$136+[4]BDD!$K$143</f>
        <v>39075.880000000005</v>
      </c>
      <c r="F42" s="67">
        <f>D42</f>
        <v>44616.528879708771</v>
      </c>
      <c r="G42" s="68">
        <f>[4]BDD!$L$115+[4]BDD!$L$122+[4]BDD!$L$136+[4]BDD!$L$143</f>
        <v>45788.861999999986</v>
      </c>
      <c r="H42" s="67">
        <f>D42</f>
        <v>44616.528879708771</v>
      </c>
      <c r="I42" s="68">
        <f>[4]BDD!$M$115+[4]BDD!$M$122+[4]BDD!$M$136+[4]BDD!$M$143</f>
        <v>73679.602000000028</v>
      </c>
      <c r="J42" s="67">
        <f>D42</f>
        <v>44616.528879708771</v>
      </c>
      <c r="K42" s="68">
        <f>[4]BDD!$N$115+[4]BDD!$N$122+[4]BDD!$N$136+[4]BDD!$N$143</f>
        <v>0</v>
      </c>
      <c r="L42" s="67">
        <f>D42</f>
        <v>44616.528879708771</v>
      </c>
      <c r="M42" s="68">
        <f>[4]BDD!$O$115+[4]BDD!$O$122+[4]BDD!$O$136+[4]BDD!$O$143</f>
        <v>0</v>
      </c>
      <c r="N42" s="67">
        <f>D42</f>
        <v>44616.528879708771</v>
      </c>
      <c r="O42" s="68">
        <f>[4]BDD!$P$115+[4]BDD!$P$122+[4]BDD!$P$136+[4]BDD!$P$143</f>
        <v>0</v>
      </c>
      <c r="P42" s="67">
        <f>D42</f>
        <v>44616.528879708771</v>
      </c>
      <c r="Q42" s="68">
        <f>[4]BDD!$Q$115+[4]BDD!$Q$122+[4]BDD!$Q$136+[4]BDD!$Q$143</f>
        <v>0</v>
      </c>
      <c r="R42" s="67">
        <f>D42</f>
        <v>44616.528879708771</v>
      </c>
      <c r="S42" s="68">
        <f>[4]BDD!$R$115+[4]BDD!$R$122+[4]BDD!$R$136+[4]BDD!$R$143</f>
        <v>0</v>
      </c>
      <c r="T42" s="67">
        <f>D42</f>
        <v>44616.528879708771</v>
      </c>
      <c r="U42" s="68">
        <f>[4]BDD!$S$115+[4]BDD!$S$122+[4]BDD!$S$136+[4]BDD!$S$143</f>
        <v>0</v>
      </c>
      <c r="V42" s="67">
        <f>D42</f>
        <v>44616.528879708771</v>
      </c>
      <c r="W42" s="68">
        <f>[4]BDD!$T$115+[4]BDD!$T$122+[4]BDD!$T$136+[4]BDD!$T$143</f>
        <v>0</v>
      </c>
      <c r="X42" s="67">
        <f>D42</f>
        <v>44616.528879708771</v>
      </c>
      <c r="Y42" s="68">
        <f>[4]BDD!$U$115+[4]BDD!$U$122+[4]BDD!$U$136+[4]BDD!$U$143</f>
        <v>0</v>
      </c>
      <c r="Z42" s="67">
        <f>D42</f>
        <v>44616.528879708771</v>
      </c>
      <c r="AA42" s="68">
        <f>[4]BDD!$V$115+[4]BDD!$V$122+[4]BDD!$V$136+[4]BDD!$V$143</f>
        <v>0</v>
      </c>
      <c r="AB42" s="67">
        <f>[4]BDD!$W$263+[4]BDD!$W$270+[4]BDD!$W$284+[4]BDD!$W$291</f>
        <v>97682.005790339623</v>
      </c>
      <c r="AC42" s="68">
        <f>[4]BDD!$X$115+[4]BDD!$X$122+[4]BDD!$X$136+[4]BDD!$X$143</f>
        <v>158544.34400000001</v>
      </c>
    </row>
    <row r="43" spans="1:29">
      <c r="A43" s="77"/>
      <c r="B43" s="81"/>
      <c r="C43" s="82" t="s">
        <v>14</v>
      </c>
      <c r="D43" s="67">
        <f>[4]BDD!$K$264+[4]BDD!$K$271+[4]BDD!$K$285+[4]BDD!$K$292</f>
        <v>884350.59099084605</v>
      </c>
      <c r="E43" s="68">
        <f>[4]BDD!$K$116+[4]BDD!$K$123+[4]BDD!$K$137+[4]BDD!$K$144</f>
        <v>1385578.0524004267</v>
      </c>
      <c r="F43" s="67">
        <f>D43</f>
        <v>884350.59099084605</v>
      </c>
      <c r="G43" s="68">
        <f>[4]BDD!$L$116+[4]BDD!$L$123+[4]BDD!$L$137+[4]BDD!$L$144</f>
        <v>1385578.0524004267</v>
      </c>
      <c r="H43" s="67">
        <f>D43</f>
        <v>884350.59099084605</v>
      </c>
      <c r="I43" s="68">
        <f>[4]BDD!$M$116+[4]BDD!$M$123+[4]BDD!$M$137+[4]BDD!$M$144</f>
        <v>1385578.0524004267</v>
      </c>
      <c r="J43" s="67">
        <f>D43</f>
        <v>884350.59099084605</v>
      </c>
      <c r="K43" s="68">
        <f>[4]BDD!$N$116+[4]BDD!$N$123+[4]BDD!$N$137+[4]BDD!$N$144</f>
        <v>0</v>
      </c>
      <c r="L43" s="67">
        <f>D43</f>
        <v>884350.59099084605</v>
      </c>
      <c r="M43" s="68">
        <f>[4]BDD!$O$116+[4]BDD!$O$123+[4]BDD!$O$137+[4]BDD!$O$144</f>
        <v>0</v>
      </c>
      <c r="N43" s="67">
        <f>D43</f>
        <v>884350.59099084605</v>
      </c>
      <c r="O43" s="68">
        <f>[4]BDD!$P$116+[4]BDD!$P$123+[4]BDD!$P$137+[4]BDD!$P$144</f>
        <v>0</v>
      </c>
      <c r="P43" s="67">
        <f>D43</f>
        <v>884350.59099084605</v>
      </c>
      <c r="Q43" s="68">
        <f>[4]BDD!$Q$116+[4]BDD!$Q$123+[4]BDD!$Q$137+[4]BDD!$Q$144</f>
        <v>0</v>
      </c>
      <c r="R43" s="67">
        <f>D43</f>
        <v>884350.59099084605</v>
      </c>
      <c r="S43" s="68">
        <f>[4]BDD!$R$116+[4]BDD!$R$123+[4]BDD!$R$137+[4]BDD!$R$144</f>
        <v>0</v>
      </c>
      <c r="T43" s="67">
        <f>D43</f>
        <v>884350.59099084605</v>
      </c>
      <c r="U43" s="68">
        <f>[4]BDD!$S$116+[4]BDD!$S$123+[4]BDD!$S$137+[4]BDD!$S$144</f>
        <v>0</v>
      </c>
      <c r="V43" s="67">
        <f>D43</f>
        <v>884350.59099084605</v>
      </c>
      <c r="W43" s="68">
        <f>[4]BDD!$T$116+[4]BDD!$T$123+[4]BDD!$T$137+[4]BDD!$T$144</f>
        <v>0</v>
      </c>
      <c r="X43" s="67">
        <f>D43</f>
        <v>884350.59099084605</v>
      </c>
      <c r="Y43" s="68">
        <f>[4]BDD!$U$116+[4]BDD!$U$123+[4]BDD!$U$137+[4]BDD!$U$144</f>
        <v>0</v>
      </c>
      <c r="Z43" s="67">
        <f>D43</f>
        <v>884350.59099084605</v>
      </c>
      <c r="AA43" s="68">
        <f>[4]BDD!$V$116+[4]BDD!$V$123+[4]BDD!$V$137+[4]BDD!$V$144</f>
        <v>0</v>
      </c>
      <c r="AB43" s="67">
        <f>[4]BDD!$W$264+[4]BDD!$W$271+[4]BDD!$W$285+[4]BDD!$W$292</f>
        <v>1768701.1819816921</v>
      </c>
      <c r="AC43" s="68">
        <f>[4]BDD!$W$116+[4]BDD!$W$123+[4]BDD!$W$137+[4]BDD!$W$144</f>
        <v>4156734.1572012799</v>
      </c>
    </row>
    <row r="44" spans="1:29">
      <c r="A44" s="77"/>
      <c r="B44" s="81"/>
      <c r="C44" s="82" t="s">
        <v>25</v>
      </c>
      <c r="D44" s="97"/>
      <c r="E44" s="68">
        <f>[4]BDD!$K$117+[4]BDD!$K$124+[4]BDD!$K$138+[4]BDD!$K$145</f>
        <v>160557.99450980735</v>
      </c>
      <c r="F44" s="97"/>
      <c r="G44" s="68">
        <f>[4]BDD!$L$117+[4]BDD!$L$124+[4]BDD!$L$138+[4]BDD!$L$145</f>
        <v>151340.35199638992</v>
      </c>
      <c r="H44" s="97"/>
      <c r="I44" s="68">
        <f>[4]BDD!$M$117+[4]BDD!$M$124+[4]BDD!$M$138+[4]BDD!$M$145</f>
        <v>300541.83023352461</v>
      </c>
      <c r="J44" s="97"/>
      <c r="K44" s="68">
        <f>[4]BDD!$N$117+[4]BDD!$N$124+[4]BDD!$N$138+[4]BDD!$N$145</f>
        <v>0</v>
      </c>
      <c r="L44" s="97"/>
      <c r="M44" s="68">
        <f>[4]BDD!$O$117+[4]BDD!$O$138+[4]BDD!$O$124+[4]BDD!$O$145</f>
        <v>0</v>
      </c>
      <c r="N44" s="97"/>
      <c r="O44" s="68">
        <f>[4]BDD!$P$117+[4]BDD!$P$124+[4]BDD!$P$138+[4]BDD!$P$145</f>
        <v>0</v>
      </c>
      <c r="P44" s="97"/>
      <c r="Q44" s="68">
        <f>[4]BDD!$Q$117+[4]BDD!$Q$124+[4]BDD!$Q$138+[4]BDD!$Q$145</f>
        <v>0</v>
      </c>
      <c r="R44" s="97"/>
      <c r="S44" s="68">
        <f>[4]BDD!$R$117+[4]BDD!$R$124+[4]BDD!$R$138+[4]BDD!$R$145</f>
        <v>0</v>
      </c>
      <c r="T44" s="97"/>
      <c r="U44" s="68">
        <f>[4]BDD!$S$117+[4]BDD!$S$124+[4]BDD!$S$138+[4]BDD!$S$145</f>
        <v>0</v>
      </c>
      <c r="V44" s="97"/>
      <c r="W44" s="68">
        <f>[4]BDD!$T$117+[4]BDD!$T$124+[4]BDD!$T$138+[4]BDD!$T$145</f>
        <v>0</v>
      </c>
      <c r="X44" s="97"/>
      <c r="Y44" s="68">
        <f>[4]BDD!$U$117+[4]BDD!$U$124+[4]BDD!$U$138+[4]BDD!$U$145</f>
        <v>0</v>
      </c>
      <c r="Z44" s="97"/>
      <c r="AA44" s="68">
        <f>[4]BDD!$V$117+[4]BDD!$V$124+[4]BDD!$V$138+[4]BDD!$V$145</f>
        <v>0</v>
      </c>
      <c r="AB44" s="97"/>
      <c r="AC44" s="68">
        <f>[4]BDD!$W$117+[4]BDD!$W$124+[4]BDD!$W$138+[4]BDD!$W$145</f>
        <v>612440.17673972191</v>
      </c>
    </row>
    <row r="45" spans="1:29">
      <c r="A45" s="78"/>
      <c r="B45" s="83"/>
      <c r="C45" s="84" t="s">
        <v>16</v>
      </c>
      <c r="D45" s="69">
        <f>IF(D40=0,0,IF(D43=0,0,(D43/D40)))</f>
        <v>7592.4497500291836</v>
      </c>
      <c r="E45" s="70">
        <f>IF(E40=0,0,IF(E43=0,0,(E43/E40)))</f>
        <v>4705.210685186752</v>
      </c>
      <c r="F45" s="69">
        <f>D45</f>
        <v>7592.4497500291836</v>
      </c>
      <c r="G45" s="70">
        <f>IF(G40=0,0,IF(G43=0,0,(G43/G40)))</f>
        <v>2899.330884995733</v>
      </c>
      <c r="H45" s="69">
        <f>D45</f>
        <v>7592.4497500291836</v>
      </c>
      <c r="I45" s="70">
        <f>IF(I40=0,0,IF(I43=0,0,(I43/I40)))</f>
        <v>11216.278068094054</v>
      </c>
      <c r="J45" s="69">
        <f>D45</f>
        <v>7592.4497500291836</v>
      </c>
      <c r="K45" s="70">
        <f>IF(K40=0,0,IF(K43=0,0,(K43/K40)))</f>
        <v>0</v>
      </c>
      <c r="L45" s="69">
        <f>D45</f>
        <v>7592.4497500291836</v>
      </c>
      <c r="M45" s="70">
        <f>IF(M40=0,0,IF(M43=0,0,(M43/M40)))</f>
        <v>0</v>
      </c>
      <c r="N45" s="69">
        <f>D45</f>
        <v>7592.4497500291836</v>
      </c>
      <c r="O45" s="70">
        <f>IF(O40=0,0,IF(O43=0,0,(O43/O40)))</f>
        <v>0</v>
      </c>
      <c r="P45" s="69">
        <f>D45</f>
        <v>7592.4497500291836</v>
      </c>
      <c r="Q45" s="70">
        <f>IF(Q40=0,0,IF(Q43=0,0,(Q43/Q40)))</f>
        <v>0</v>
      </c>
      <c r="R45" s="69">
        <f>D45</f>
        <v>7592.4497500291836</v>
      </c>
      <c r="S45" s="70">
        <f>IF(S40=0,0,IF(S43=0,0,(S43/S40)))</f>
        <v>0</v>
      </c>
      <c r="T45" s="69">
        <f>D45</f>
        <v>7592.4497500291836</v>
      </c>
      <c r="U45" s="70">
        <f>IF(U40=0,0,IF(U43=0,0,(U43/U40)))</f>
        <v>0</v>
      </c>
      <c r="V45" s="69">
        <f>D45</f>
        <v>7592.4497500291836</v>
      </c>
      <c r="W45" s="70">
        <f>IF(W40=0,0,IF(W43=0,0,(W43/W40)))</f>
        <v>0</v>
      </c>
      <c r="X45" s="69">
        <f>D45</f>
        <v>7592.4497500291836</v>
      </c>
      <c r="Y45" s="70">
        <f>IF(Y40=0,0,IF(Y43=0,0,(Y43/Y40)))</f>
        <v>0</v>
      </c>
      <c r="Z45" s="69">
        <f>D45</f>
        <v>7592.4497500291836</v>
      </c>
      <c r="AA45" s="70">
        <f>IF(AA40=0,0,IF(AA43=0,0,(AA43/AA40)))</f>
        <v>0</v>
      </c>
      <c r="AB45" s="69">
        <f>IF(AB40=0,0,IF(AB43=0,0,(AB43/AB40)))</f>
        <v>18332.96428896995</v>
      </c>
      <c r="AC45" s="70">
        <f>IF(AC40=0,0,IF(AC43=0,0,(AC43/AC40)))</f>
        <v>18817.813107840841</v>
      </c>
    </row>
    <row r="46" spans="1:29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8" spans="1:29" ht="15" customHeight="1">
      <c r="A48" s="861" t="s">
        <v>41</v>
      </c>
      <c r="B48" s="862"/>
      <c r="C48" s="862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8"/>
    </row>
    <row r="49" spans="1:29" ht="15" customHeight="1">
      <c r="A49" s="863"/>
      <c r="B49" s="864"/>
      <c r="C49" s="864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20"/>
    </row>
    <row r="50" spans="1:29">
      <c r="A50" s="865" t="s">
        <v>0</v>
      </c>
      <c r="B50" s="865" t="s">
        <v>1</v>
      </c>
      <c r="C50" s="865" t="s">
        <v>2</v>
      </c>
      <c r="D50" s="860" t="s">
        <v>29</v>
      </c>
      <c r="E50" s="860"/>
      <c r="F50" s="860" t="s">
        <v>30</v>
      </c>
      <c r="G50" s="860"/>
      <c r="H50" s="860" t="s">
        <v>31</v>
      </c>
      <c r="I50" s="860"/>
      <c r="J50" s="858" t="s">
        <v>32</v>
      </c>
      <c r="K50" s="859"/>
      <c r="L50" s="858" t="s">
        <v>33</v>
      </c>
      <c r="M50" s="859"/>
      <c r="N50" s="858" t="s">
        <v>34</v>
      </c>
      <c r="O50" s="859"/>
      <c r="P50" s="858" t="s">
        <v>35</v>
      </c>
      <c r="Q50" s="859"/>
      <c r="R50" s="858" t="s">
        <v>36</v>
      </c>
      <c r="S50" s="859"/>
      <c r="T50" s="858" t="s">
        <v>37</v>
      </c>
      <c r="U50" s="859"/>
      <c r="V50" s="858" t="s">
        <v>38</v>
      </c>
      <c r="W50" s="859"/>
      <c r="X50" s="858" t="s">
        <v>39</v>
      </c>
      <c r="Y50" s="859"/>
      <c r="Z50" s="860" t="s">
        <v>40</v>
      </c>
      <c r="AA50" s="860"/>
      <c r="AB50" s="856" t="s">
        <v>55</v>
      </c>
      <c r="AC50" s="857"/>
    </row>
    <row r="51" spans="1:29">
      <c r="A51" s="868"/>
      <c r="B51" s="868"/>
      <c r="C51" s="869"/>
      <c r="D51" s="33" t="s">
        <v>26</v>
      </c>
      <c r="E51" s="34" t="s">
        <v>5</v>
      </c>
      <c r="F51" s="33" t="s">
        <v>26</v>
      </c>
      <c r="G51" s="34" t="s">
        <v>5</v>
      </c>
      <c r="H51" s="33" t="s">
        <v>26</v>
      </c>
      <c r="I51" s="34" t="s">
        <v>5</v>
      </c>
      <c r="J51" s="33" t="s">
        <v>26</v>
      </c>
      <c r="K51" s="34" t="s">
        <v>5</v>
      </c>
      <c r="L51" s="33" t="s">
        <v>26</v>
      </c>
      <c r="M51" s="34" t="s">
        <v>5</v>
      </c>
      <c r="N51" s="33" t="s">
        <v>26</v>
      </c>
      <c r="O51" s="34" t="s">
        <v>5</v>
      </c>
      <c r="P51" s="33" t="s">
        <v>26</v>
      </c>
      <c r="Q51" s="34" t="s">
        <v>5</v>
      </c>
      <c r="R51" s="33" t="s">
        <v>26</v>
      </c>
      <c r="S51" s="34" t="s">
        <v>5</v>
      </c>
      <c r="T51" s="33" t="s">
        <v>26</v>
      </c>
      <c r="U51" s="34" t="s">
        <v>5</v>
      </c>
      <c r="V51" s="33" t="s">
        <v>26</v>
      </c>
      <c r="W51" s="34" t="s">
        <v>5</v>
      </c>
      <c r="X51" s="33" t="s">
        <v>26</v>
      </c>
      <c r="Y51" s="34" t="s">
        <v>5</v>
      </c>
      <c r="Z51" s="33" t="s">
        <v>26</v>
      </c>
      <c r="AA51" s="34" t="s">
        <v>5</v>
      </c>
      <c r="AB51" s="33" t="s">
        <v>26</v>
      </c>
      <c r="AC51" s="34" t="s">
        <v>5</v>
      </c>
    </row>
    <row r="52" spans="1:29">
      <c r="A52" s="79">
        <v>49</v>
      </c>
      <c r="B52" s="76" t="s">
        <v>58</v>
      </c>
      <c r="C52" s="85" t="s">
        <v>18</v>
      </c>
      <c r="D52" s="35"/>
      <c r="E52" s="64">
        <f>[4]BDD!$K$67</f>
        <v>7422</v>
      </c>
      <c r="F52" s="16"/>
      <c r="G52" s="64">
        <f>[4]BDD!$L$67</f>
        <v>5981</v>
      </c>
      <c r="H52" s="16"/>
      <c r="I52" s="64">
        <f>[4]BDD!$M$67</f>
        <v>0</v>
      </c>
      <c r="J52" s="16"/>
      <c r="K52" s="64">
        <f>[4]BDD!$N$67</f>
        <v>0</v>
      </c>
      <c r="L52" s="16"/>
      <c r="M52" s="64">
        <f>[4]BDD!$O$67</f>
        <v>0</v>
      </c>
      <c r="N52" s="16"/>
      <c r="O52" s="64">
        <f>[4]BDD!$P$67</f>
        <v>0</v>
      </c>
      <c r="P52" s="16"/>
      <c r="Q52" s="64">
        <f>[4]BDD!$Q$67</f>
        <v>0</v>
      </c>
      <c r="R52" s="16"/>
      <c r="S52" s="64">
        <f>[4]BDD!$R$67</f>
        <v>0</v>
      </c>
      <c r="T52" s="16"/>
      <c r="U52" s="64">
        <f>[4]BDD!$S$67</f>
        <v>0</v>
      </c>
      <c r="V52" s="16"/>
      <c r="W52" s="64">
        <f>[4]BDD!$T$67</f>
        <v>0</v>
      </c>
      <c r="X52" s="16"/>
      <c r="Y52" s="64">
        <f>[4]BDD!$U$67</f>
        <v>0</v>
      </c>
      <c r="Z52" s="16"/>
      <c r="AA52" s="64">
        <f>[4]BDD!$V$67</f>
        <v>0</v>
      </c>
      <c r="AB52" s="16">
        <v>0</v>
      </c>
      <c r="AC52" s="64">
        <f>[4]BDD!$W$67</f>
        <v>13403</v>
      </c>
    </row>
    <row r="53" spans="1:29">
      <c r="A53" s="81">
        <v>50</v>
      </c>
      <c r="B53" s="77" t="s">
        <v>58</v>
      </c>
      <c r="C53" s="86" t="s">
        <v>10</v>
      </c>
      <c r="D53" s="75">
        <f>[4]BDD!$K$241</f>
        <v>159098.48878321657</v>
      </c>
      <c r="E53" s="68">
        <f>[4]BDD!$K$68</f>
        <v>459703.64780000004</v>
      </c>
      <c r="F53" s="67">
        <f>[4]BDD!$L$241</f>
        <v>154165.86954718723</v>
      </c>
      <c r="G53" s="68">
        <f>[4]BDD!$L$68</f>
        <v>401953.34600000008</v>
      </c>
      <c r="H53" s="67">
        <f>[4]BDD!$M$241</f>
        <v>0</v>
      </c>
      <c r="I53" s="68">
        <f>[4]BDD!$M$68</f>
        <v>0</v>
      </c>
      <c r="J53" s="67">
        <f>[4]BDD!$N$241</f>
        <v>0</v>
      </c>
      <c r="K53" s="68">
        <f>[4]BDD!$N$68</f>
        <v>0</v>
      </c>
      <c r="L53" s="67">
        <f>[4]BDD!$O$241</f>
        <v>0</v>
      </c>
      <c r="M53" s="68">
        <f>[4]BDD!$O$68</f>
        <v>0</v>
      </c>
      <c r="N53" s="67">
        <f>[4]BDD!$P$241</f>
        <v>0</v>
      </c>
      <c r="O53" s="68">
        <f>[4]BDD!$P$68</f>
        <v>0</v>
      </c>
      <c r="P53" s="67">
        <f>[4]BDD!$Q$241</f>
        <v>0</v>
      </c>
      <c r="Q53" s="68">
        <f>[4]BDD!$Q$68</f>
        <v>0</v>
      </c>
      <c r="R53" s="67">
        <f>[4]BDD!$R$241</f>
        <v>0</v>
      </c>
      <c r="S53" s="68">
        <f>[4]BDD!$R$68</f>
        <v>0</v>
      </c>
      <c r="T53" s="67">
        <f>[4]BDD!$S$241</f>
        <v>0</v>
      </c>
      <c r="U53" s="68">
        <f>[4]BDD!$S$68</f>
        <v>0</v>
      </c>
      <c r="V53" s="67">
        <f>[4]BDD!$T$241</f>
        <v>0</v>
      </c>
      <c r="W53" s="68">
        <f>[4]BDD!$T$68</f>
        <v>0</v>
      </c>
      <c r="X53" s="67">
        <f>[4]BDD!$U$241</f>
        <v>0</v>
      </c>
      <c r="Y53" s="68">
        <f>[4]BDD!$U$68</f>
        <v>0</v>
      </c>
      <c r="Z53" s="67">
        <f>[4]BDD!$V$241</f>
        <v>0</v>
      </c>
      <c r="AA53" s="68">
        <f>[4]BDD!$V$68</f>
        <v>0</v>
      </c>
      <c r="AB53" s="67">
        <f>[4]BDD!$W$241</f>
        <v>313264.3583304038</v>
      </c>
      <c r="AC53" s="68">
        <f>[4]BDD!$W$68</f>
        <v>861656.99380000005</v>
      </c>
    </row>
    <row r="54" spans="1:29">
      <c r="A54" s="81">
        <v>51</v>
      </c>
      <c r="B54" s="77" t="s">
        <v>58</v>
      </c>
      <c r="C54" s="86" t="s">
        <v>14</v>
      </c>
      <c r="D54" s="75">
        <f>[4]BDD!$K$242</f>
        <v>0</v>
      </c>
      <c r="E54" s="68">
        <f>[4]BDD!$K$69</f>
        <v>6.9821260583254938</v>
      </c>
      <c r="F54" s="67">
        <f>[4]BDD!$L$242</f>
        <v>0</v>
      </c>
      <c r="G54" s="68">
        <f>[4]BDD!$L$69</f>
        <v>5.7787439613526574</v>
      </c>
      <c r="H54" s="67">
        <f>[4]BDD!$M$242</f>
        <v>0</v>
      </c>
      <c r="I54" s="68">
        <f>[4]BDD!$M$69</f>
        <v>0</v>
      </c>
      <c r="J54" s="67">
        <f>[4]BDD!$N$242</f>
        <v>0</v>
      </c>
      <c r="K54" s="68">
        <f>[4]BDD!$N$69</f>
        <v>0</v>
      </c>
      <c r="L54" s="67">
        <f>[4]BDD!$O$242</f>
        <v>0</v>
      </c>
      <c r="M54" s="68">
        <f>[4]BDD!$O$69</f>
        <v>0</v>
      </c>
      <c r="N54" s="67">
        <f>[4]BDD!$P$242</f>
        <v>0</v>
      </c>
      <c r="O54" s="68">
        <f>[4]BDD!$P$69</f>
        <v>0</v>
      </c>
      <c r="P54" s="67">
        <f>[4]BDD!$Q$242</f>
        <v>0</v>
      </c>
      <c r="Q54" s="68">
        <f>[4]BDD!$Q$69</f>
        <v>0</v>
      </c>
      <c r="R54" s="67">
        <f>[4]BDD!$R$242</f>
        <v>0</v>
      </c>
      <c r="S54" s="68">
        <f>[4]BDD!$R$69</f>
        <v>0</v>
      </c>
      <c r="T54" s="67">
        <f>[4]BDD!$S$242</f>
        <v>0</v>
      </c>
      <c r="U54" s="68">
        <f>[4]BDD!$S$69</f>
        <v>0</v>
      </c>
      <c r="V54" s="67">
        <f>[4]BDD!$T$242</f>
        <v>0</v>
      </c>
      <c r="W54" s="68">
        <f>[4]BDD!$T$69</f>
        <v>0</v>
      </c>
      <c r="X54" s="67">
        <f>[4]BDD!$U$242</f>
        <v>0</v>
      </c>
      <c r="Y54" s="68">
        <f>[4]BDD!$U$69</f>
        <v>0</v>
      </c>
      <c r="Z54" s="67">
        <f>[4]BDD!$V$242</f>
        <v>0</v>
      </c>
      <c r="AA54" s="68">
        <f>[4]BDD!$V$69</f>
        <v>0</v>
      </c>
      <c r="AB54" s="67">
        <f>[4]BDD!$W$242</f>
        <v>0</v>
      </c>
      <c r="AC54" s="68">
        <f>[4]BDD!$W$69</f>
        <v>6.388465204957102</v>
      </c>
    </row>
    <row r="55" spans="1:29">
      <c r="A55" s="81">
        <v>52</v>
      </c>
      <c r="B55" s="77" t="s">
        <v>58</v>
      </c>
      <c r="C55" s="86" t="s">
        <v>19</v>
      </c>
      <c r="D55" s="36"/>
      <c r="E55" s="68">
        <f>[4]BDD!$K$70</f>
        <v>61.937974642953385</v>
      </c>
      <c r="F55" s="36"/>
      <c r="G55" s="68">
        <f>[4]BDD!$L$70</f>
        <v>67.205040294265189</v>
      </c>
      <c r="H55" s="36"/>
      <c r="I55" s="68">
        <f>[4]BDD!$M$70</f>
        <v>0</v>
      </c>
      <c r="J55" s="36"/>
      <c r="K55" s="68">
        <f>[4]BDD!$N$70</f>
        <v>0</v>
      </c>
      <c r="L55" s="36"/>
      <c r="M55" s="68">
        <f>[4]BDD!$O$70</f>
        <v>0</v>
      </c>
      <c r="N55" s="36"/>
      <c r="O55" s="68">
        <f>[4]BDD!$P$70</f>
        <v>0</v>
      </c>
      <c r="P55" s="36"/>
      <c r="Q55" s="68">
        <f>[4]BDD!$Q$70</f>
        <v>0</v>
      </c>
      <c r="R55" s="36"/>
      <c r="S55" s="68">
        <f>[4]BDD!$R$70</f>
        <v>0</v>
      </c>
      <c r="T55" s="36"/>
      <c r="U55" s="68">
        <f>[4]BDD!$S$70</f>
        <v>0</v>
      </c>
      <c r="V55" s="36"/>
      <c r="W55" s="68">
        <f>[4]BDD!$T$70</f>
        <v>0</v>
      </c>
      <c r="X55" s="36"/>
      <c r="Y55" s="68">
        <f>[4]BDD!$U$70</f>
        <v>0</v>
      </c>
      <c r="Z55" s="36"/>
      <c r="AA55" s="68">
        <f>[4]BDD!$V$70</f>
        <v>0</v>
      </c>
      <c r="AB55" s="36"/>
      <c r="AC55" s="68">
        <f>[4]BDD!$W$70</f>
        <v>64.288367813176166</v>
      </c>
    </row>
    <row r="56" spans="1:29">
      <c r="A56" s="83">
        <v>53</v>
      </c>
      <c r="B56" s="78" t="s">
        <v>58</v>
      </c>
      <c r="C56" s="84" t="s">
        <v>16</v>
      </c>
      <c r="D56" s="675">
        <f>IF(D53=0,0,IF(D54=0,0,(D54/D53)))</f>
        <v>0</v>
      </c>
      <c r="E56" s="70">
        <f>IF(E54=0,0,IF(E53=0,0,(E54/E53)))</f>
        <v>1.5188319892043052E-5</v>
      </c>
      <c r="F56" s="675">
        <f>IF(F53=0,0,IF(F54=0,0,(F54/F53)))</f>
        <v>0</v>
      </c>
      <c r="G56" s="70">
        <f>IF(G54=0,0,IF(G53=0,0,(G54/G53)))</f>
        <v>1.4376653457072245E-5</v>
      </c>
      <c r="H56" s="675">
        <f>IF(H53=0,0,IF(H54=0,0,(H54/H53)))</f>
        <v>0</v>
      </c>
      <c r="I56" s="70">
        <f>IF(I54=0,0,IF(I53=0,0,(I54/I53)))</f>
        <v>0</v>
      </c>
      <c r="J56" s="675">
        <f>IF(J53=0,0,IF(J54=0,0,(J54/J53)))</f>
        <v>0</v>
      </c>
      <c r="K56" s="70">
        <f>IF(K54=0,0,IF(K53=0,0,(K54/K53)))</f>
        <v>0</v>
      </c>
      <c r="L56" s="675">
        <f>IF(L53=0,0,IF(L54=0,0,(L54/L53)))</f>
        <v>0</v>
      </c>
      <c r="M56" s="70">
        <f>IF(M54=0,0,IF(M53=0,0,(M54/M53)))</f>
        <v>0</v>
      </c>
      <c r="N56" s="675">
        <f>IF(N53=0,0,IF(N54=0,0,(N54/N53)))</f>
        <v>0</v>
      </c>
      <c r="O56" s="70">
        <f>IF(O54=0,0,IF(O53=0,0,(O54/O53)))</f>
        <v>0</v>
      </c>
      <c r="P56" s="675">
        <f>IF(P53=0,0,IF(P54=0,0,(P54/P53)))</f>
        <v>0</v>
      </c>
      <c r="Q56" s="70">
        <f>IF(Q54=0,0,IF(Q53=0,0,(Q54/Q53)))</f>
        <v>0</v>
      </c>
      <c r="R56" s="675">
        <f>IF(R53=0,0,IF(R54=0,0,(R54/R53)))</f>
        <v>0</v>
      </c>
      <c r="S56" s="70">
        <f>IF(S54=0,0,IF(S53=0,0,(S54/S53)))</f>
        <v>0</v>
      </c>
      <c r="T56" s="675">
        <f>IF(T53=0,0,IF(T54=0,0,(T54/T53)))</f>
        <v>0</v>
      </c>
      <c r="U56" s="70">
        <f>IF(U54=0,0,IF(U53=0,0,(U54/U53)))</f>
        <v>0</v>
      </c>
      <c r="V56" s="675">
        <f>IF(V53=0,0,IF(V54=0,0,(V54/V53)))</f>
        <v>0</v>
      </c>
      <c r="W56" s="70">
        <f>IF(W54=0,0,IF(W53=0,0,(W54/W53)))</f>
        <v>0</v>
      </c>
      <c r="X56" s="675">
        <f>IF(X53=0,0,IF(X54=0,0,(X54/X53)))</f>
        <v>0</v>
      </c>
      <c r="Y56" s="70">
        <f>IF(Y54=0,0,IF(Y53=0,0,(Y54/Y53)))</f>
        <v>0</v>
      </c>
      <c r="Z56" s="675">
        <f>IF(Z53=0,0,IF(Z54=0,0,(Z54/Z53)))</f>
        <v>0</v>
      </c>
      <c r="AA56" s="70">
        <f>IF(AA54=0,0,IF(AA53=0,0,(AA54/AA53)))</f>
        <v>0</v>
      </c>
      <c r="AB56" s="675">
        <f>IF(AB53=0,0,IF(AB54=0,0,(AB54/AB53)))</f>
        <v>0</v>
      </c>
      <c r="AC56" s="676">
        <f>IF(AC54=0,0,IF(AC53=0,0,(AC54/AC53)))</f>
        <v>7.4141627711779869E-6</v>
      </c>
    </row>
    <row r="57" spans="1:29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63"/>
    </row>
    <row r="58" spans="1:29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</sheetData>
  <mergeCells count="69">
    <mergeCell ref="R7:S7"/>
    <mergeCell ref="T7:U7"/>
    <mergeCell ref="V7:W7"/>
    <mergeCell ref="X7:Y7"/>
    <mergeCell ref="Z7:AA7"/>
    <mergeCell ref="A7:A8"/>
    <mergeCell ref="B7:B8"/>
    <mergeCell ref="C7:C8"/>
    <mergeCell ref="A5:C6"/>
    <mergeCell ref="P7:Q7"/>
    <mergeCell ref="D7:E7"/>
    <mergeCell ref="F7:G7"/>
    <mergeCell ref="H7:I7"/>
    <mergeCell ref="J7:K7"/>
    <mergeCell ref="L7:M7"/>
    <mergeCell ref="N7:O7"/>
    <mergeCell ref="P22:Q22"/>
    <mergeCell ref="R22:S22"/>
    <mergeCell ref="F22:G22"/>
    <mergeCell ref="A20:C21"/>
    <mergeCell ref="A22:A23"/>
    <mergeCell ref="B22:B23"/>
    <mergeCell ref="C22:C23"/>
    <mergeCell ref="D22:E22"/>
    <mergeCell ref="A35:C36"/>
    <mergeCell ref="H22:I22"/>
    <mergeCell ref="J22:K22"/>
    <mergeCell ref="L22:M22"/>
    <mergeCell ref="N22:O22"/>
    <mergeCell ref="A50:A51"/>
    <mergeCell ref="B50:B51"/>
    <mergeCell ref="C50:C51"/>
    <mergeCell ref="D50:E50"/>
    <mergeCell ref="F50:G50"/>
    <mergeCell ref="P37:Q37"/>
    <mergeCell ref="R37:S37"/>
    <mergeCell ref="A37:A38"/>
    <mergeCell ref="B37:B38"/>
    <mergeCell ref="C37:C38"/>
    <mergeCell ref="D37:E37"/>
    <mergeCell ref="F37:G37"/>
    <mergeCell ref="A48:C49"/>
    <mergeCell ref="H37:I37"/>
    <mergeCell ref="J37:K37"/>
    <mergeCell ref="L37:M37"/>
    <mergeCell ref="N37:O37"/>
    <mergeCell ref="V37:W37"/>
    <mergeCell ref="X37:Y37"/>
    <mergeCell ref="Z37:AA37"/>
    <mergeCell ref="T50:U50"/>
    <mergeCell ref="V50:W50"/>
    <mergeCell ref="X50:Y50"/>
    <mergeCell ref="Z50:AA50"/>
    <mergeCell ref="A1:AC3"/>
    <mergeCell ref="AB37:AC37"/>
    <mergeCell ref="AB50:AC50"/>
    <mergeCell ref="T22:U22"/>
    <mergeCell ref="V22:W22"/>
    <mergeCell ref="X22:Y22"/>
    <mergeCell ref="Z22:AA22"/>
    <mergeCell ref="AB7:AC7"/>
    <mergeCell ref="AB22:AC22"/>
    <mergeCell ref="H50:I50"/>
    <mergeCell ref="J50:K50"/>
    <mergeCell ref="L50:M50"/>
    <mergeCell ref="N50:O50"/>
    <mergeCell ref="P50:Q50"/>
    <mergeCell ref="R50:S50"/>
    <mergeCell ref="T37:U37"/>
  </mergeCells>
  <pageMargins left="0.7" right="0.7" top="0.75" bottom="0.75" header="0.3" footer="0.3"/>
  <pageSetup paperSize="9" orientation="portrait" r:id="rId1"/>
  <ignoredErrors>
    <ignoredError sqref="J45 N45 X45 Z45 V45 T45 R45 P45 L45 H45 F45 E16:F16 G16:H16 I16:J16 K16:L16 M16:N16 O16:P16 Q16:R16 S16:T16 U16:V16 W16:X16 Y16:Z16 AA16:AB16 M17 Q17 S17 U17 W17 Y17 AA17 E31 G31 I31 K31:K32 M31:M32 O31 Q31 S31 U31 W31 Y31 AA31 O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4"/>
  </sheetPr>
  <dimension ref="A1:Q3"/>
  <sheetViews>
    <sheetView zoomScale="70" zoomScaleNormal="70" workbookViewId="0">
      <selection activeCell="O1" sqref="O1:Q2"/>
    </sheetView>
  </sheetViews>
  <sheetFormatPr baseColWidth="10" defaultRowHeight="15"/>
  <cols>
    <col min="1" max="19" width="12" customWidth="1"/>
  </cols>
  <sheetData>
    <row r="1" spans="1:17" ht="21" customHeight="1">
      <c r="A1" s="765"/>
      <c r="B1" s="762"/>
      <c r="C1" s="762"/>
      <c r="D1" s="762"/>
      <c r="E1" s="762"/>
      <c r="F1" s="762"/>
      <c r="G1" s="762"/>
      <c r="H1" s="874" t="s">
        <v>6</v>
      </c>
      <c r="I1" s="874"/>
      <c r="J1" s="874"/>
      <c r="K1" s="762"/>
      <c r="L1" s="762"/>
      <c r="M1" s="762"/>
      <c r="N1" s="762"/>
      <c r="O1" s="870" t="s">
        <v>2046</v>
      </c>
      <c r="P1" s="870"/>
      <c r="Q1" s="871"/>
    </row>
    <row r="2" spans="1:17" ht="16.5" customHeight="1" thickBot="1">
      <c r="A2" s="763"/>
      <c r="B2" s="764"/>
      <c r="C2" s="764"/>
      <c r="D2" s="764"/>
      <c r="E2" s="764"/>
      <c r="F2" s="764"/>
      <c r="G2" s="764"/>
      <c r="H2" s="875"/>
      <c r="I2" s="875"/>
      <c r="J2" s="875"/>
      <c r="K2" s="764"/>
      <c r="L2" s="764"/>
      <c r="M2" s="764"/>
      <c r="N2" s="764"/>
      <c r="O2" s="872"/>
      <c r="P2" s="872"/>
      <c r="Q2" s="873"/>
    </row>
    <row r="3" spans="1:17" ht="6.75" customHeight="1"/>
  </sheetData>
  <mergeCells count="2">
    <mergeCell ref="O1:Q2"/>
    <mergeCell ref="H1:J2"/>
  </mergeCells>
  <pageMargins left="0.25" right="0.25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4"/>
  </sheetPr>
  <dimension ref="A1:Q3"/>
  <sheetViews>
    <sheetView topLeftCell="A4" zoomScale="85" zoomScaleNormal="85" workbookViewId="0">
      <selection sqref="A1:Q2"/>
    </sheetView>
  </sheetViews>
  <sheetFormatPr baseColWidth="10" defaultRowHeight="15"/>
  <cols>
    <col min="1" max="25" width="12" customWidth="1"/>
  </cols>
  <sheetData>
    <row r="1" spans="1:17" ht="15" customHeight="1">
      <c r="A1" s="765"/>
      <c r="B1" s="762"/>
      <c r="C1" s="762"/>
      <c r="D1" s="762"/>
      <c r="E1" s="762"/>
      <c r="F1" s="762"/>
      <c r="G1" s="762"/>
      <c r="H1" s="874" t="s">
        <v>21</v>
      </c>
      <c r="I1" s="874"/>
      <c r="J1" s="874"/>
      <c r="K1" s="762"/>
      <c r="L1" s="762"/>
      <c r="M1" s="762"/>
      <c r="N1" s="762"/>
      <c r="O1" s="870" t="s">
        <v>2046</v>
      </c>
      <c r="P1" s="870"/>
      <c r="Q1" s="871"/>
    </row>
    <row r="2" spans="1:17" ht="24" customHeight="1" thickBot="1">
      <c r="A2" s="763"/>
      <c r="B2" s="764"/>
      <c r="C2" s="764"/>
      <c r="D2" s="764"/>
      <c r="E2" s="764"/>
      <c r="F2" s="764"/>
      <c r="G2" s="764"/>
      <c r="H2" s="875"/>
      <c r="I2" s="875"/>
      <c r="J2" s="875"/>
      <c r="K2" s="764"/>
      <c r="L2" s="764"/>
      <c r="M2" s="764"/>
      <c r="N2" s="764"/>
      <c r="O2" s="872"/>
      <c r="P2" s="872"/>
      <c r="Q2" s="873"/>
    </row>
    <row r="3" spans="1:17" ht="6.75" customHeight="1"/>
  </sheetData>
  <mergeCells count="2">
    <mergeCell ref="H1:J2"/>
    <mergeCell ref="O1:Q2"/>
  </mergeCells>
  <pageMargins left="0.25" right="0.25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3" tint="0.39997558519241921"/>
  </sheetPr>
  <dimension ref="A1:Q3"/>
  <sheetViews>
    <sheetView zoomScale="70" zoomScaleNormal="70" workbookViewId="0">
      <selection sqref="A1:Q2"/>
    </sheetView>
  </sheetViews>
  <sheetFormatPr baseColWidth="10" defaultRowHeight="15"/>
  <cols>
    <col min="1" max="25" width="12" customWidth="1"/>
  </cols>
  <sheetData>
    <row r="1" spans="1:17" ht="16.5" customHeight="1">
      <c r="A1" s="765"/>
      <c r="B1" s="762"/>
      <c r="C1" s="762"/>
      <c r="D1" s="762"/>
      <c r="E1" s="762"/>
      <c r="F1" s="762"/>
      <c r="G1" s="762"/>
      <c r="H1" s="874" t="s">
        <v>28</v>
      </c>
      <c r="I1" s="874"/>
      <c r="J1" s="874"/>
      <c r="K1" s="762"/>
      <c r="L1" s="762"/>
      <c r="M1" s="762"/>
      <c r="N1" s="762"/>
      <c r="O1" s="870" t="s">
        <v>2046</v>
      </c>
      <c r="P1" s="870"/>
      <c r="Q1" s="871"/>
    </row>
    <row r="2" spans="1:17" ht="25.5" customHeight="1" thickBot="1">
      <c r="A2" s="763"/>
      <c r="B2" s="764"/>
      <c r="C2" s="764"/>
      <c r="D2" s="764"/>
      <c r="E2" s="764"/>
      <c r="F2" s="764"/>
      <c r="G2" s="764"/>
      <c r="H2" s="875"/>
      <c r="I2" s="875"/>
      <c r="J2" s="875"/>
      <c r="K2" s="764"/>
      <c r="L2" s="764"/>
      <c r="M2" s="764"/>
      <c r="N2" s="764"/>
      <c r="O2" s="872"/>
      <c r="P2" s="872"/>
      <c r="Q2" s="873"/>
    </row>
    <row r="3" spans="1:17" ht="9.75" customHeight="1"/>
  </sheetData>
  <mergeCells count="2">
    <mergeCell ref="H1:J2"/>
    <mergeCell ref="O1:Q2"/>
  </mergeCells>
  <pageMargins left="0.25" right="0.25" top="0.75" bottom="0.75" header="0.3" footer="0.3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4"/>
  </sheetPr>
  <dimension ref="A1:Q3"/>
  <sheetViews>
    <sheetView zoomScale="69" zoomScaleNormal="69" workbookViewId="0">
      <selection sqref="A1:Q2"/>
    </sheetView>
  </sheetViews>
  <sheetFormatPr baseColWidth="10" defaultRowHeight="15"/>
  <cols>
    <col min="1" max="27" width="12" customWidth="1"/>
  </cols>
  <sheetData>
    <row r="1" spans="1:17" ht="15" customHeight="1">
      <c r="A1" s="765"/>
      <c r="B1" s="762"/>
      <c r="C1" s="762"/>
      <c r="D1" s="762"/>
      <c r="E1" s="762"/>
      <c r="F1" s="762"/>
      <c r="G1" s="874" t="s">
        <v>41</v>
      </c>
      <c r="H1" s="874"/>
      <c r="I1" s="874"/>
      <c r="J1" s="874"/>
      <c r="K1" s="874"/>
      <c r="L1" s="762"/>
      <c r="M1" s="762"/>
      <c r="N1" s="762"/>
      <c r="O1" s="870" t="s">
        <v>2046</v>
      </c>
      <c r="P1" s="870"/>
      <c r="Q1" s="871"/>
    </row>
    <row r="2" spans="1:17" ht="27.75" customHeight="1" thickBot="1">
      <c r="A2" s="763"/>
      <c r="B2" s="764"/>
      <c r="C2" s="764"/>
      <c r="D2" s="764"/>
      <c r="E2" s="764"/>
      <c r="F2" s="764"/>
      <c r="G2" s="875"/>
      <c r="H2" s="875"/>
      <c r="I2" s="875"/>
      <c r="J2" s="875"/>
      <c r="K2" s="875"/>
      <c r="L2" s="764"/>
      <c r="M2" s="764"/>
      <c r="N2" s="764"/>
      <c r="O2" s="872"/>
      <c r="P2" s="872"/>
      <c r="Q2" s="873"/>
    </row>
    <row r="3" spans="1:17" ht="7.5" customHeight="1"/>
  </sheetData>
  <mergeCells count="2">
    <mergeCell ref="O1:Q2"/>
    <mergeCell ref="G1:K2"/>
  </mergeCells>
  <pageMargins left="0.25" right="0.25" top="0.75" bottom="0.75" header="0.3" footer="0.3"/>
  <pageSetup paperSize="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66FF33"/>
  </sheetPr>
  <dimension ref="A1:Q35"/>
  <sheetViews>
    <sheetView tabSelected="1" topLeftCell="A12" zoomScale="85" zoomScaleNormal="85" workbookViewId="0">
      <selection activeCell="C15" sqref="C15"/>
    </sheetView>
  </sheetViews>
  <sheetFormatPr baseColWidth="10" defaultRowHeight="15"/>
  <cols>
    <col min="7" max="7" width="17.85546875" customWidth="1"/>
    <col min="8" max="8" width="22" customWidth="1"/>
    <col min="9" max="9" width="21.42578125" customWidth="1"/>
    <col min="10" max="10" width="11" customWidth="1"/>
    <col min="11" max="11" width="16.7109375" customWidth="1"/>
    <col min="12" max="12" width="13.85546875" customWidth="1"/>
    <col min="13" max="13" width="21" customWidth="1"/>
    <col min="14" max="14" width="4.28515625" customWidth="1"/>
    <col min="15" max="15" width="16.28515625" customWidth="1"/>
    <col min="16" max="16" width="14.5703125" customWidth="1"/>
    <col min="17" max="17" width="21.5703125" customWidth="1"/>
  </cols>
  <sheetData>
    <row r="1" spans="1:17" ht="15" customHeight="1">
      <c r="A1" s="879" t="s">
        <v>2061</v>
      </c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1"/>
    </row>
    <row r="2" spans="1:17" ht="15" customHeight="1" thickBot="1">
      <c r="A2" s="882"/>
      <c r="B2" s="883"/>
      <c r="C2" s="883"/>
      <c r="D2" s="883"/>
      <c r="E2" s="883"/>
      <c r="F2" s="883"/>
      <c r="G2" s="883"/>
      <c r="H2" s="883"/>
      <c r="I2" s="883"/>
      <c r="J2" s="883"/>
      <c r="K2" s="883"/>
      <c r="L2" s="883"/>
      <c r="M2" s="883"/>
      <c r="N2" s="883"/>
      <c r="O2" s="883"/>
      <c r="P2" s="883"/>
      <c r="Q2" s="884"/>
    </row>
    <row r="3" spans="1:17" ht="15" customHeight="1"/>
    <row r="4" spans="1:17" ht="15" customHeight="1">
      <c r="A4" s="885" t="s">
        <v>2055</v>
      </c>
      <c r="B4" s="885"/>
      <c r="C4" s="885"/>
      <c r="D4" s="885"/>
      <c r="E4" s="885"/>
      <c r="G4" s="886" t="s">
        <v>2066</v>
      </c>
      <c r="H4" s="886"/>
      <c r="I4" s="886"/>
      <c r="J4" s="886"/>
      <c r="K4" s="886"/>
      <c r="L4" s="886"/>
      <c r="M4" s="886"/>
      <c r="N4" s="886"/>
      <c r="O4" s="886"/>
      <c r="P4" s="886"/>
      <c r="Q4" s="886"/>
    </row>
    <row r="5" spans="1:17" ht="15" customHeight="1">
      <c r="J5" s="10"/>
      <c r="K5" s="10"/>
      <c r="L5" s="10"/>
    </row>
    <row r="6" spans="1:17" ht="15" customHeight="1">
      <c r="A6" s="876" t="s">
        <v>21</v>
      </c>
      <c r="B6" s="877"/>
      <c r="C6" s="877"/>
      <c r="D6" s="877"/>
      <c r="E6" s="878"/>
      <c r="G6" s="790" t="s">
        <v>2058</v>
      </c>
      <c r="H6" s="790"/>
      <c r="I6" s="790"/>
      <c r="J6" s="787"/>
      <c r="K6" s="790" t="s">
        <v>2062</v>
      </c>
      <c r="L6" s="790"/>
      <c r="M6" s="790"/>
      <c r="O6" s="790" t="s">
        <v>2063</v>
      </c>
      <c r="P6" s="790"/>
      <c r="Q6" s="790"/>
    </row>
    <row r="7" spans="1:17" ht="15" customHeight="1">
      <c r="A7" s="865" t="s">
        <v>2</v>
      </c>
      <c r="B7" s="860" t="s">
        <v>2050</v>
      </c>
      <c r="C7" s="860"/>
      <c r="D7" s="860" t="s">
        <v>30</v>
      </c>
      <c r="E7" s="860"/>
      <c r="G7" s="791" t="s">
        <v>2</v>
      </c>
      <c r="H7" s="792" t="s">
        <v>2057</v>
      </c>
      <c r="I7" s="792" t="s">
        <v>2064</v>
      </c>
      <c r="J7" s="10" t="s">
        <v>2065</v>
      </c>
      <c r="K7" s="791" t="s">
        <v>2</v>
      </c>
      <c r="L7" s="792" t="s">
        <v>2057</v>
      </c>
      <c r="M7" s="792" t="s">
        <v>2064</v>
      </c>
      <c r="O7" s="791" t="s">
        <v>2</v>
      </c>
      <c r="P7" s="792" t="s">
        <v>2057</v>
      </c>
      <c r="Q7" s="792" t="s">
        <v>2064</v>
      </c>
    </row>
    <row r="8" spans="1:17" ht="15" customHeight="1">
      <c r="A8" s="867"/>
      <c r="B8" s="12" t="s">
        <v>26</v>
      </c>
      <c r="C8" s="13" t="s">
        <v>5</v>
      </c>
      <c r="D8" s="12" t="s">
        <v>26</v>
      </c>
      <c r="E8" s="13" t="s">
        <v>5</v>
      </c>
      <c r="G8" s="211" t="s">
        <v>66</v>
      </c>
      <c r="H8" s="834">
        <f>'Vol. par Bassin'!H30</f>
        <v>67090</v>
      </c>
      <c r="I8" s="835">
        <f>'Vol. par Bassin'!M30</f>
        <v>70606</v>
      </c>
      <c r="J8" s="795">
        <f>((I8-H8)/H8)</f>
        <v>5.240721418989417E-2</v>
      </c>
      <c r="K8" s="793" t="s">
        <v>66</v>
      </c>
      <c r="L8" s="835">
        <f>'Vol. par Bassin'!I30</f>
        <v>55088</v>
      </c>
      <c r="M8" s="835">
        <f>'Vol. par Bassin'!N30</f>
        <v>32391</v>
      </c>
      <c r="N8" s="794"/>
      <c r="O8" s="793" t="s">
        <v>66</v>
      </c>
      <c r="P8" s="837">
        <f>'Vol. par Bassin'!J30</f>
        <v>57161</v>
      </c>
      <c r="Q8" s="837">
        <f>'Vol. par Bassin'!O30</f>
        <v>47791</v>
      </c>
    </row>
    <row r="9" spans="1:17" ht="15" customHeight="1">
      <c r="A9" s="231" t="s">
        <v>10</v>
      </c>
      <c r="B9" s="771">
        <f>'Budget-Réel '!D40</f>
        <v>116.47763503307306</v>
      </c>
      <c r="C9" s="771">
        <f>'Budget-Réel '!E40</f>
        <v>294.47736671231172</v>
      </c>
      <c r="D9" s="771">
        <f>'Budget-Réel '!F26</f>
        <v>17.265971161746464</v>
      </c>
      <c r="E9" s="771">
        <f>'Budget-Réel '!G40</f>
        <v>477.89579987951799</v>
      </c>
      <c r="G9" s="211" t="s">
        <v>405</v>
      </c>
      <c r="H9" s="834">
        <f>'Vol. par Bassin'!H31</f>
        <v>21115</v>
      </c>
      <c r="I9" s="835">
        <f>'Vol. par Bassin'!M31</f>
        <v>6791</v>
      </c>
      <c r="J9" s="795">
        <f>((I9-H9)/H9)</f>
        <v>-0.67838029836609048</v>
      </c>
      <c r="K9" s="793" t="s">
        <v>405</v>
      </c>
      <c r="L9" s="835">
        <f>'Vol. par Bassin'!I31</f>
        <v>16599</v>
      </c>
      <c r="M9" s="835">
        <f>'Vol. par Bassin'!N31</f>
        <v>5476</v>
      </c>
      <c r="N9" s="794"/>
      <c r="O9" s="793" t="s">
        <v>405</v>
      </c>
      <c r="P9" s="837">
        <f>'Vol. par Bassin'!J31</f>
        <v>8985</v>
      </c>
      <c r="Q9" s="837">
        <f>'Vol. par Bassin'!O31</f>
        <v>3335</v>
      </c>
    </row>
    <row r="10" spans="1:17" ht="15" customHeight="1">
      <c r="A10" s="195" t="s">
        <v>1997</v>
      </c>
      <c r="B10" s="772">
        <f>'Budget-Réel '!D43</f>
        <v>884350.59099084605</v>
      </c>
      <c r="C10" s="772">
        <f>'Budget-Réel '!E43</f>
        <v>1385578.0524004267</v>
      </c>
      <c r="D10" s="772">
        <f>'Budget-Réel '!F43</f>
        <v>884350.59099084605</v>
      </c>
      <c r="E10" s="772">
        <f>'Budget-Réel '!G43</f>
        <v>1385578.0524004267</v>
      </c>
      <c r="G10" s="211" t="s">
        <v>2018</v>
      </c>
      <c r="H10" s="836">
        <f>SUM(H8:H9)</f>
        <v>88205</v>
      </c>
      <c r="I10" s="836">
        <f>SUM(I8:I9)</f>
        <v>77397</v>
      </c>
      <c r="J10" s="795">
        <f>((I10-H10)/H10)</f>
        <v>-0.12253273623944221</v>
      </c>
      <c r="K10" s="793" t="s">
        <v>2018</v>
      </c>
      <c r="L10" s="836">
        <f>SUM(L8:L9)</f>
        <v>71687</v>
      </c>
      <c r="M10" s="836">
        <f>SUM(M8:M9)</f>
        <v>37867</v>
      </c>
      <c r="N10" s="794"/>
      <c r="O10" s="793" t="s">
        <v>2018</v>
      </c>
      <c r="P10" s="838">
        <f>SUM(P8:P9)</f>
        <v>66146</v>
      </c>
      <c r="Q10" s="838">
        <f>SUM(Q8:Q9)</f>
        <v>51126</v>
      </c>
    </row>
    <row r="11" spans="1:17" ht="15" customHeight="1"/>
    <row r="12" spans="1:17" ht="15" customHeight="1">
      <c r="A12" s="876" t="s">
        <v>28</v>
      </c>
      <c r="B12" s="877"/>
      <c r="C12" s="877"/>
      <c r="D12" s="877"/>
      <c r="E12" s="878"/>
      <c r="G12" s="787"/>
      <c r="H12" s="787"/>
      <c r="I12" s="787"/>
      <c r="J12" s="10"/>
      <c r="K12" s="787"/>
      <c r="L12" s="787"/>
      <c r="M12" s="787"/>
      <c r="N12" s="10"/>
      <c r="O12" s="787"/>
      <c r="P12" s="787"/>
      <c r="Q12" s="787"/>
    </row>
    <row r="13" spans="1:17" ht="15" customHeight="1">
      <c r="A13" s="865" t="s">
        <v>2</v>
      </c>
      <c r="B13" s="860" t="s">
        <v>2078</v>
      </c>
      <c r="C13" s="860"/>
      <c r="D13" s="860" t="s">
        <v>30</v>
      </c>
      <c r="E13" s="860"/>
      <c r="G13" s="887" t="s">
        <v>2067</v>
      </c>
      <c r="H13" s="887"/>
      <c r="I13" s="887"/>
      <c r="J13" s="887"/>
      <c r="K13" s="887"/>
      <c r="L13" s="887"/>
      <c r="M13" s="887"/>
      <c r="N13" s="887"/>
      <c r="O13" s="887"/>
      <c r="P13" s="887"/>
      <c r="Q13" s="887"/>
    </row>
    <row r="14" spans="1:17" ht="15" customHeight="1">
      <c r="A14" s="867"/>
      <c r="B14" s="12" t="s">
        <v>26</v>
      </c>
      <c r="C14" s="13" t="s">
        <v>5</v>
      </c>
      <c r="D14" s="12" t="s">
        <v>26</v>
      </c>
      <c r="E14" s="13" t="s">
        <v>5</v>
      </c>
      <c r="G14" s="10"/>
      <c r="H14" s="471"/>
      <c r="I14" s="471"/>
      <c r="J14" s="471"/>
      <c r="K14" s="471"/>
    </row>
    <row r="15" spans="1:17" ht="15" customHeight="1">
      <c r="A15" s="231" t="s">
        <v>10</v>
      </c>
      <c r="B15" s="771">
        <f>'Budget-Réel '!D26</f>
        <v>22.84726560770639</v>
      </c>
      <c r="C15" s="771">
        <f>'Budget-Réel '!E26</f>
        <v>44.830852865163536</v>
      </c>
      <c r="D15" s="771">
        <f>'Budget-Réel '!F26</f>
        <v>17.265971161746464</v>
      </c>
      <c r="E15" s="771">
        <f>'Budget-Réel '!G26</f>
        <v>36.191423412578999</v>
      </c>
      <c r="F15" s="770"/>
      <c r="G15" s="790" t="s">
        <v>2058</v>
      </c>
      <c r="H15" s="790"/>
      <c r="I15" s="790"/>
      <c r="J15" s="787"/>
      <c r="K15" s="790" t="s">
        <v>2062</v>
      </c>
      <c r="L15" s="790"/>
      <c r="M15" s="790"/>
      <c r="O15" s="790" t="s">
        <v>2063</v>
      </c>
      <c r="P15" s="790"/>
      <c r="Q15" s="790"/>
    </row>
    <row r="16" spans="1:17" ht="15" customHeight="1">
      <c r="A16" s="195" t="s">
        <v>1997</v>
      </c>
      <c r="B16" s="772">
        <f>'Budget-Réel '!D30</f>
        <v>2566.9676566724333</v>
      </c>
      <c r="C16" s="772">
        <f>'Budget-Réel '!E30</f>
        <v>0</v>
      </c>
      <c r="D16" s="772">
        <f>'Budget-Réel '!F30</f>
        <v>2847.4248261232374</v>
      </c>
      <c r="E16" s="772">
        <f>'Budget-Réel '!G30</f>
        <v>0</v>
      </c>
      <c r="G16" s="791" t="s">
        <v>2</v>
      </c>
      <c r="H16" s="792" t="s">
        <v>2077</v>
      </c>
      <c r="I16" s="792" t="s">
        <v>2064</v>
      </c>
      <c r="J16" s="10"/>
      <c r="K16" s="791" t="s">
        <v>2</v>
      </c>
      <c r="L16" s="792" t="s">
        <v>2077</v>
      </c>
      <c r="M16" s="792" t="s">
        <v>2064</v>
      </c>
      <c r="O16" s="791" t="s">
        <v>2</v>
      </c>
      <c r="P16" s="792" t="s">
        <v>2077</v>
      </c>
      <c r="Q16" s="792" t="s">
        <v>2064</v>
      </c>
    </row>
    <row r="17" spans="1:17" ht="15" customHeight="1">
      <c r="G17" s="211" t="s">
        <v>66</v>
      </c>
      <c r="H17" s="839">
        <f ca="1">'Vol. par Bassin'!C30</f>
        <v>57864</v>
      </c>
      <c r="I17" s="837">
        <f>'Vol. par Bassin'!M30</f>
        <v>70606</v>
      </c>
      <c r="J17" s="795"/>
      <c r="K17" s="793" t="s">
        <v>66</v>
      </c>
      <c r="L17" s="839">
        <f ca="1">'Vol. par Bassin'!D30</f>
        <v>47862.5</v>
      </c>
      <c r="M17" s="841">
        <f>'Vol. par Bassin'!N30</f>
        <v>32391</v>
      </c>
      <c r="N17" s="794"/>
      <c r="O17" s="793" t="s">
        <v>66</v>
      </c>
      <c r="P17" s="839">
        <f ca="1">'Vol. par Bassin'!E30</f>
        <v>58833.5</v>
      </c>
      <c r="Q17" s="841">
        <f>'Vol. par Bassin'!O30</f>
        <v>47791</v>
      </c>
    </row>
    <row r="18" spans="1:17" ht="15" customHeight="1">
      <c r="A18" s="876" t="s">
        <v>6</v>
      </c>
      <c r="B18" s="877"/>
      <c r="C18" s="877"/>
      <c r="D18" s="877"/>
      <c r="E18" s="878"/>
      <c r="G18" s="211" t="s">
        <v>405</v>
      </c>
      <c r="H18" s="839">
        <f ca="1">'Vol. par Bassin'!C31</f>
        <v>18642.5</v>
      </c>
      <c r="I18" s="837">
        <f>'Vol. par Bassin'!M31</f>
        <v>6791</v>
      </c>
      <c r="J18" s="795"/>
      <c r="K18" s="793" t="s">
        <v>405</v>
      </c>
      <c r="L18" s="841">
        <f ca="1">'Vol. par Bassin'!D31</f>
        <v>8660.5</v>
      </c>
      <c r="M18" s="842">
        <f>'Vol. par Bassin'!N31</f>
        <v>5476</v>
      </c>
      <c r="N18" s="794"/>
      <c r="O18" s="793" t="s">
        <v>405</v>
      </c>
      <c r="P18" s="842">
        <f ca="1">'Vol. par Bassin'!E31</f>
        <v>10186.5</v>
      </c>
      <c r="Q18" s="842">
        <f>'Vol. par Bassin'!O31</f>
        <v>3335</v>
      </c>
    </row>
    <row r="19" spans="1:17" ht="15" customHeight="1">
      <c r="A19" s="865" t="s">
        <v>2</v>
      </c>
      <c r="B19" s="860" t="s">
        <v>2078</v>
      </c>
      <c r="C19" s="860"/>
      <c r="D19" s="860" t="s">
        <v>30</v>
      </c>
      <c r="E19" s="860"/>
      <c r="G19" s="211" t="s">
        <v>2018</v>
      </c>
      <c r="H19" s="840">
        <f ca="1">SUM(H17:H18)</f>
        <v>76506.5</v>
      </c>
      <c r="I19" s="840">
        <f>SUM(I17:I18)</f>
        <v>77397</v>
      </c>
      <c r="J19" s="795"/>
      <c r="K19" s="793" t="s">
        <v>2018</v>
      </c>
      <c r="L19" s="840">
        <f ca="1">SUM(L17:L18)</f>
        <v>56523</v>
      </c>
      <c r="M19" s="840">
        <f>SUM(M17:M18)</f>
        <v>37867</v>
      </c>
      <c r="N19" s="794"/>
      <c r="O19" s="793" t="s">
        <v>2018</v>
      </c>
      <c r="P19" s="840">
        <f ca="1">SUM(P17:P18)</f>
        <v>69020</v>
      </c>
      <c r="Q19" s="840">
        <f>SUM(Q17:Q18)</f>
        <v>51126</v>
      </c>
    </row>
    <row r="20" spans="1:17" ht="15" customHeight="1">
      <c r="A20" s="867"/>
      <c r="B20" s="12" t="s">
        <v>26</v>
      </c>
      <c r="C20" s="13" t="s">
        <v>5</v>
      </c>
      <c r="D20" s="12" t="s">
        <v>26</v>
      </c>
      <c r="E20" s="13" t="s">
        <v>5</v>
      </c>
    </row>
    <row r="21" spans="1:17" ht="15" customHeight="1">
      <c r="A21" s="231" t="s">
        <v>10</v>
      </c>
      <c r="B21" s="771">
        <f>'Budget-Réel '!D11</f>
        <v>0</v>
      </c>
      <c r="C21" s="771">
        <f>'Budget-Réel '!E11</f>
        <v>18.11211203013676</v>
      </c>
      <c r="D21" s="771">
        <f>'Budget-Réel '!F11</f>
        <v>0</v>
      </c>
      <c r="E21" s="771">
        <f>'Budget-Réel '!G11</f>
        <v>16.09010540632438</v>
      </c>
    </row>
    <row r="22" spans="1:17" ht="15" customHeight="1">
      <c r="A22" s="195" t="s">
        <v>1997</v>
      </c>
      <c r="B22" s="772">
        <f>'Budget-Réel '!D15</f>
        <v>0</v>
      </c>
      <c r="C22" s="772">
        <f>'Budget-Réel '!E15</f>
        <v>1069623</v>
      </c>
      <c r="D22" s="772">
        <f>'Budget-Réel '!F15</f>
        <v>0</v>
      </c>
      <c r="E22" s="772">
        <f>'Budget-Réel '!G15</f>
        <v>1276863</v>
      </c>
    </row>
    <row r="23" spans="1:17" ht="15" customHeight="1"/>
    <row r="24" spans="1:17" ht="15" customHeight="1">
      <c r="A24" s="876" t="s">
        <v>41</v>
      </c>
      <c r="B24" s="877"/>
      <c r="C24" s="877"/>
      <c r="D24" s="877"/>
      <c r="E24" s="878"/>
    </row>
    <row r="25" spans="1:17" ht="15" customHeight="1">
      <c r="A25" s="865" t="s">
        <v>2</v>
      </c>
      <c r="B25" s="860" t="s">
        <v>2078</v>
      </c>
      <c r="C25" s="860"/>
      <c r="D25" s="860" t="s">
        <v>30</v>
      </c>
      <c r="E25" s="860"/>
    </row>
    <row r="26" spans="1:17" ht="15" customHeight="1">
      <c r="A26" s="867"/>
      <c r="B26" s="12" t="s">
        <v>26</v>
      </c>
      <c r="C26" s="13" t="s">
        <v>5</v>
      </c>
      <c r="D26" s="12" t="s">
        <v>26</v>
      </c>
      <c r="E26" s="13" t="s">
        <v>5</v>
      </c>
      <c r="G26" s="787"/>
      <c r="H26" s="787"/>
      <c r="I26" s="787"/>
      <c r="J26" s="10"/>
      <c r="K26" s="787"/>
      <c r="L26" s="787"/>
      <c r="M26" s="787"/>
      <c r="N26" s="10"/>
      <c r="O26" s="787"/>
      <c r="P26" s="787"/>
      <c r="Q26" s="787"/>
    </row>
    <row r="27" spans="1:17" ht="15" customHeight="1">
      <c r="A27" s="231" t="s">
        <v>10</v>
      </c>
      <c r="B27" s="771">
        <f>'Budget-Réel '!D53</f>
        <v>159098.48878321657</v>
      </c>
      <c r="C27" s="771">
        <f>'Budget-Réel '!E53</f>
        <v>459703.64780000004</v>
      </c>
      <c r="D27" s="771">
        <f>'Budget-Réel '!F53</f>
        <v>154165.86954718723</v>
      </c>
      <c r="E27" s="771">
        <f>'Budget-Réel '!G53</f>
        <v>401953.34600000008</v>
      </c>
      <c r="G27" s="789"/>
      <c r="H27" s="788"/>
      <c r="I27" s="788"/>
      <c r="J27" s="10"/>
      <c r="K27" s="789"/>
      <c r="L27" s="788"/>
      <c r="M27" s="788"/>
      <c r="N27" s="10"/>
      <c r="O27" s="789"/>
      <c r="P27" s="788"/>
      <c r="Q27" s="788"/>
    </row>
    <row r="28" spans="1:17" ht="15" customHeight="1">
      <c r="A28" s="195" t="s">
        <v>1997</v>
      </c>
      <c r="B28" s="772">
        <f>'Budget-Réel '!D54</f>
        <v>0</v>
      </c>
      <c r="C28" s="772">
        <f>'Budget-Réel '!E54</f>
        <v>6.9821260583254938</v>
      </c>
      <c r="D28" s="772">
        <f>'Budget-Réel '!F54</f>
        <v>0</v>
      </c>
      <c r="E28" s="772">
        <f>'Budget-Réel '!G54</f>
        <v>5.7787439613526574</v>
      </c>
      <c r="G28" s="10"/>
      <c r="H28" s="10"/>
      <c r="I28" s="10"/>
      <c r="J28" s="10"/>
      <c r="K28" s="10"/>
      <c r="L28" s="816"/>
      <c r="M28" s="816"/>
      <c r="N28" s="10"/>
      <c r="O28" s="10"/>
      <c r="P28" s="816"/>
      <c r="Q28" s="816"/>
    </row>
    <row r="29" spans="1:17" ht="15" customHeight="1">
      <c r="G29" s="10"/>
      <c r="H29" s="471"/>
      <c r="I29" s="471"/>
      <c r="J29" s="787"/>
      <c r="K29" s="10"/>
      <c r="L29" s="816"/>
      <c r="M29" s="816"/>
      <c r="N29" s="10"/>
      <c r="O29" s="10"/>
      <c r="P29" s="816"/>
      <c r="Q29" s="816"/>
    </row>
    <row r="30" spans="1:17" ht="15" customHeight="1">
      <c r="G30" s="10"/>
      <c r="H30" s="471"/>
      <c r="I30" s="471"/>
      <c r="J30" s="788"/>
      <c r="K30" s="10"/>
      <c r="L30" s="471"/>
      <c r="M30" s="471"/>
      <c r="N30" s="10"/>
      <c r="O30" s="10"/>
      <c r="P30" s="471"/>
      <c r="Q30" s="471"/>
    </row>
    <row r="31" spans="1:17" ht="15" customHeight="1">
      <c r="H31" t="s">
        <v>360</v>
      </c>
    </row>
    <row r="32" spans="1:17" ht="15" customHeight="1"/>
    <row r="33" ht="15" customHeight="1"/>
    <row r="34" ht="15" customHeight="1"/>
    <row r="35" ht="15" customHeight="1"/>
  </sheetData>
  <mergeCells count="20">
    <mergeCell ref="G13:Q13"/>
    <mergeCell ref="A24:E24"/>
    <mergeCell ref="A25:A26"/>
    <mergeCell ref="B25:C25"/>
    <mergeCell ref="D25:E25"/>
    <mergeCell ref="A12:E12"/>
    <mergeCell ref="A13:A14"/>
    <mergeCell ref="B13:C13"/>
    <mergeCell ref="D13:E13"/>
    <mergeCell ref="A18:E18"/>
    <mergeCell ref="A19:A20"/>
    <mergeCell ref="B19:C19"/>
    <mergeCell ref="D19:E19"/>
    <mergeCell ref="A7:A8"/>
    <mergeCell ref="B7:C7"/>
    <mergeCell ref="D7:E7"/>
    <mergeCell ref="A6:E6"/>
    <mergeCell ref="A1:Q2"/>
    <mergeCell ref="A4:E4"/>
    <mergeCell ref="G4:Q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>
    <tabColor rgb="FF66FF33"/>
  </sheetPr>
  <dimension ref="A1:AI63"/>
  <sheetViews>
    <sheetView zoomScaleNormal="100" workbookViewId="0">
      <selection activeCell="AG11" sqref="AG11"/>
    </sheetView>
  </sheetViews>
  <sheetFormatPr baseColWidth="10" defaultRowHeight="15"/>
  <cols>
    <col min="1" max="43" width="6.7109375" customWidth="1"/>
  </cols>
  <sheetData>
    <row r="1" spans="1:35" ht="15" customHeight="1">
      <c r="A1" s="765"/>
      <c r="B1" s="762"/>
      <c r="C1" s="762"/>
      <c r="D1" s="891" t="s">
        <v>2049</v>
      </c>
      <c r="E1" s="891"/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  <c r="U1" s="891"/>
      <c r="V1" s="891"/>
      <c r="W1" s="891"/>
      <c r="X1" s="891"/>
      <c r="Y1" s="891"/>
      <c r="Z1" s="785"/>
      <c r="AA1" s="897" t="s">
        <v>2054</v>
      </c>
      <c r="AB1" s="897"/>
      <c r="AC1" s="896">
        <f ca="1">TODAY()</f>
        <v>42467</v>
      </c>
      <c r="AD1" s="896"/>
      <c r="AE1" s="767"/>
      <c r="AF1" s="767"/>
      <c r="AG1" s="767"/>
      <c r="AH1" s="767"/>
      <c r="AI1" s="10"/>
    </row>
    <row r="2" spans="1:35" ht="15" customHeight="1" thickBot="1">
      <c r="A2" s="763"/>
      <c r="B2" s="764"/>
      <c r="C2" s="764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892"/>
      <c r="R2" s="892"/>
      <c r="S2" s="892"/>
      <c r="T2" s="892"/>
      <c r="U2" s="892"/>
      <c r="V2" s="892"/>
      <c r="W2" s="892"/>
      <c r="X2" s="892"/>
      <c r="Y2" s="892"/>
      <c r="Z2" s="782"/>
      <c r="AA2" s="766"/>
      <c r="AB2" s="766"/>
      <c r="AC2" s="766"/>
      <c r="AD2" s="766"/>
      <c r="AE2" s="767"/>
      <c r="AF2" s="767"/>
      <c r="AG2" s="767"/>
      <c r="AH2" s="767"/>
      <c r="AI2" s="10"/>
    </row>
    <row r="3" spans="1:35" ht="3" customHeight="1">
      <c r="J3" s="768"/>
      <c r="T3" s="768"/>
    </row>
    <row r="4" spans="1:35" ht="10.5" customHeight="1">
      <c r="B4" s="888" t="s">
        <v>2052</v>
      </c>
      <c r="C4" s="889"/>
      <c r="D4" s="889"/>
      <c r="E4" s="889"/>
      <c r="F4" s="889"/>
      <c r="G4" s="889"/>
      <c r="H4" s="889"/>
      <c r="I4" s="890"/>
      <c r="J4" s="769"/>
      <c r="T4" s="769"/>
    </row>
    <row r="5" spans="1:35" ht="10.5" customHeight="1">
      <c r="J5" s="769"/>
      <c r="K5" s="774"/>
      <c r="L5" s="775"/>
      <c r="M5" s="775"/>
      <c r="T5" s="769"/>
      <c r="U5" s="773"/>
    </row>
    <row r="6" spans="1:35" ht="15" customHeight="1">
      <c r="J6" s="769"/>
      <c r="P6" s="11"/>
      <c r="Q6" s="779"/>
      <c r="R6" s="778"/>
      <c r="S6" s="778"/>
      <c r="T6" s="769"/>
    </row>
    <row r="7" spans="1:35" ht="15" customHeight="1">
      <c r="J7" s="769"/>
      <c r="T7" s="769"/>
    </row>
    <row r="8" spans="1:35" ht="15" customHeight="1">
      <c r="J8" s="769"/>
      <c r="T8" s="769"/>
    </row>
    <row r="9" spans="1:35" ht="15" customHeight="1">
      <c r="J9" s="769"/>
      <c r="T9" s="769"/>
    </row>
    <row r="10" spans="1:35" ht="15" customHeight="1">
      <c r="J10" s="769"/>
      <c r="T10" s="769"/>
    </row>
    <row r="11" spans="1:35" ht="15" customHeight="1">
      <c r="J11" s="769"/>
      <c r="T11" s="769"/>
    </row>
    <row r="12" spans="1:35" ht="15" customHeight="1">
      <c r="J12" s="769"/>
      <c r="T12" s="769"/>
    </row>
    <row r="13" spans="1:35" ht="15" customHeight="1">
      <c r="J13" s="769"/>
      <c r="T13" s="769"/>
    </row>
    <row r="14" spans="1:35" ht="15" customHeight="1">
      <c r="J14" s="769"/>
      <c r="T14" s="769"/>
      <c r="V14" s="888" t="s">
        <v>2051</v>
      </c>
      <c r="W14" s="889"/>
      <c r="X14" s="889"/>
      <c r="Y14" s="889"/>
      <c r="Z14" s="889"/>
      <c r="AA14" s="889"/>
      <c r="AB14" s="889"/>
      <c r="AC14" s="890"/>
    </row>
    <row r="15" spans="1:35" ht="15" customHeight="1">
      <c r="J15" s="769"/>
      <c r="T15" s="769"/>
      <c r="U15" s="777"/>
      <c r="V15" s="778"/>
      <c r="W15" s="778"/>
    </row>
    <row r="16" spans="1:35" ht="15" customHeight="1">
      <c r="J16" s="769"/>
      <c r="T16" s="769"/>
      <c r="V16" s="888" t="s">
        <v>2055</v>
      </c>
      <c r="W16" s="889"/>
      <c r="X16" s="889"/>
      <c r="Y16" s="889"/>
      <c r="Z16" s="889"/>
      <c r="AA16" s="889"/>
      <c r="AB16" s="889"/>
      <c r="AC16" s="890"/>
    </row>
    <row r="17" spans="7:23" ht="15" customHeight="1">
      <c r="J17" s="769"/>
      <c r="T17" s="769"/>
    </row>
    <row r="18" spans="7:23" ht="15" customHeight="1">
      <c r="J18" s="769"/>
      <c r="T18" s="769"/>
    </row>
    <row r="19" spans="7:23" ht="15" customHeight="1">
      <c r="J19" s="769"/>
      <c r="T19" s="769"/>
    </row>
    <row r="20" spans="7:23" ht="15" customHeight="1">
      <c r="J20" s="769"/>
      <c r="T20" s="769"/>
    </row>
    <row r="21" spans="7:23" ht="15" customHeight="1">
      <c r="J21" s="769"/>
      <c r="T21" s="769"/>
    </row>
    <row r="22" spans="7:23" ht="15" customHeight="1">
      <c r="J22" s="769"/>
      <c r="T22" s="769"/>
    </row>
    <row r="23" spans="7:23" ht="15" customHeight="1">
      <c r="J23" s="769"/>
      <c r="T23" s="769"/>
    </row>
    <row r="24" spans="7:23" ht="15" customHeight="1">
      <c r="J24" s="769"/>
      <c r="T24" s="769"/>
    </row>
    <row r="25" spans="7:23" ht="15" customHeight="1">
      <c r="J25" s="769"/>
      <c r="T25" s="769"/>
      <c r="U25" s="777"/>
      <c r="V25" s="778"/>
      <c r="W25" s="778"/>
    </row>
    <row r="26" spans="7:23" ht="15" customHeight="1">
      <c r="J26" s="769"/>
      <c r="T26" s="769"/>
    </row>
    <row r="27" spans="7:23" ht="15" customHeight="1">
      <c r="J27" s="769"/>
      <c r="T27" s="769"/>
    </row>
    <row r="28" spans="7:23" ht="15" customHeight="1">
      <c r="J28" s="769"/>
      <c r="T28" s="769"/>
    </row>
    <row r="29" spans="7:23" ht="15" customHeight="1">
      <c r="J29" s="769"/>
      <c r="T29" s="769"/>
    </row>
    <row r="30" spans="7:23" ht="15" customHeight="1">
      <c r="H30" s="783"/>
      <c r="I30" s="11"/>
      <c r="J30" s="769"/>
      <c r="T30" s="769"/>
    </row>
    <row r="31" spans="7:23" ht="15" customHeight="1">
      <c r="G31" s="893" t="s">
        <v>2056</v>
      </c>
      <c r="H31" s="894"/>
      <c r="I31" s="895"/>
      <c r="J31" s="784"/>
      <c r="T31" s="769"/>
    </row>
    <row r="32" spans="7:23" ht="15" customHeight="1">
      <c r="G32" s="11"/>
      <c r="H32" s="11"/>
      <c r="J32" s="769"/>
      <c r="T32" s="769"/>
    </row>
    <row r="33" spans="2:23" ht="15" customHeight="1">
      <c r="J33" s="769"/>
      <c r="T33" s="769"/>
    </row>
    <row r="34" spans="2:23" ht="15" customHeight="1">
      <c r="J34" s="769"/>
      <c r="T34" s="769"/>
    </row>
    <row r="35" spans="2:23" ht="15" customHeight="1">
      <c r="J35" s="769"/>
      <c r="T35" s="769"/>
      <c r="U35" s="777"/>
      <c r="V35" s="778"/>
      <c r="W35" s="778"/>
    </row>
    <row r="36" spans="2:23" ht="15" customHeight="1">
      <c r="J36" s="769"/>
      <c r="T36" s="769"/>
    </row>
    <row r="37" spans="2:23" ht="15" customHeight="1">
      <c r="B37" s="888" t="s">
        <v>2053</v>
      </c>
      <c r="C37" s="889"/>
      <c r="D37" s="889"/>
      <c r="E37" s="889"/>
      <c r="F37" s="889"/>
      <c r="G37" s="889"/>
      <c r="H37" s="889"/>
      <c r="I37" s="890"/>
      <c r="J37" s="769"/>
      <c r="T37" s="769"/>
    </row>
    <row r="38" spans="2:23" ht="15" customHeight="1">
      <c r="J38" s="769"/>
      <c r="T38" s="769"/>
    </row>
    <row r="39" spans="2:23" ht="15" customHeight="1">
      <c r="J39" s="769"/>
      <c r="T39" s="769"/>
    </row>
    <row r="40" spans="2:23" ht="15" customHeight="1">
      <c r="J40" s="769"/>
      <c r="T40" s="769"/>
    </row>
    <row r="41" spans="2:23" ht="15" customHeight="1">
      <c r="J41" s="769"/>
      <c r="T41" s="769"/>
    </row>
    <row r="42" spans="2:23" ht="15" customHeight="1">
      <c r="J42" s="769"/>
      <c r="T42" s="769"/>
    </row>
    <row r="43" spans="2:23" ht="15" customHeight="1">
      <c r="J43" s="769"/>
      <c r="T43" s="769"/>
    </row>
    <row r="44" spans="2:23" ht="15" customHeight="1">
      <c r="J44" s="769"/>
      <c r="T44" s="769"/>
    </row>
    <row r="45" spans="2:23" ht="15" customHeight="1">
      <c r="J45" s="769"/>
      <c r="T45" s="769"/>
      <c r="U45" s="780"/>
      <c r="V45" s="781"/>
      <c r="W45" s="781"/>
    </row>
    <row r="46" spans="2:23" ht="15" customHeight="1">
      <c r="J46" s="769"/>
      <c r="T46" s="769"/>
    </row>
    <row r="47" spans="2:23" ht="15" customHeight="1">
      <c r="J47" s="769"/>
      <c r="T47" s="769"/>
    </row>
    <row r="48" spans="2:23" ht="15" customHeight="1">
      <c r="J48" s="769"/>
      <c r="T48" s="769"/>
    </row>
    <row r="49" spans="10:20" ht="15" customHeight="1">
      <c r="J49" s="769"/>
      <c r="T49" s="769"/>
    </row>
    <row r="50" spans="10:20" ht="15" customHeight="1">
      <c r="J50" s="769"/>
      <c r="T50" s="769"/>
    </row>
    <row r="51" spans="10:20" ht="15" customHeight="1">
      <c r="K51" s="776"/>
      <c r="T51" s="769"/>
    </row>
    <row r="52" spans="10:20" ht="15" customHeight="1">
      <c r="K52" s="776"/>
      <c r="T52" s="769"/>
    </row>
    <row r="53" spans="10:20" ht="15" customHeight="1"/>
    <row r="54" spans="10:20" ht="15" customHeight="1"/>
    <row r="55" spans="10:20" ht="15" customHeight="1"/>
    <row r="56" spans="10:20" ht="15" customHeight="1"/>
    <row r="57" spans="10:20" ht="15" customHeight="1"/>
    <row r="58" spans="10:20" ht="15" customHeight="1"/>
    <row r="59" spans="10:20" ht="15" customHeight="1"/>
    <row r="60" spans="10:20" ht="15" customHeight="1"/>
    <row r="61" spans="10:20" ht="15" customHeight="1"/>
    <row r="62" spans="10:20" ht="15" customHeight="1"/>
    <row r="63" spans="10:20" ht="15" customHeight="1"/>
  </sheetData>
  <mergeCells count="8">
    <mergeCell ref="V14:AC14"/>
    <mergeCell ref="B4:I4"/>
    <mergeCell ref="B37:I37"/>
    <mergeCell ref="D1:Y2"/>
    <mergeCell ref="V16:AC16"/>
    <mergeCell ref="G31:I31"/>
    <mergeCell ref="AC1:AD1"/>
    <mergeCell ref="AA1:AB1"/>
  </mergeCells>
  <pageMargins left="0.25" right="0.25" top="0.75" bottom="0.75" header="0.3" footer="0.3"/>
  <pageSetup paperSize="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>
    <tabColor rgb="FF66FF33"/>
  </sheetPr>
  <dimension ref="A1:AI63"/>
  <sheetViews>
    <sheetView topLeftCell="A10" zoomScaleNormal="100" workbookViewId="0">
      <selection activeCell="M28" sqref="M28"/>
    </sheetView>
  </sheetViews>
  <sheetFormatPr baseColWidth="10" defaultRowHeight="15"/>
  <cols>
    <col min="1" max="43" width="6.7109375" customWidth="1"/>
  </cols>
  <sheetData>
    <row r="1" spans="1:35" ht="15" customHeight="1">
      <c r="A1" s="765"/>
      <c r="B1" s="762"/>
      <c r="C1" s="762"/>
      <c r="D1" s="891" t="s">
        <v>2049</v>
      </c>
      <c r="E1" s="891"/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  <c r="U1" s="891"/>
      <c r="V1" s="891"/>
      <c r="W1" s="891"/>
      <c r="X1" s="891"/>
      <c r="Y1" s="891"/>
      <c r="Z1" s="785"/>
      <c r="AA1" s="897" t="s">
        <v>2054</v>
      </c>
      <c r="AB1" s="897"/>
      <c r="AC1" s="896">
        <f ca="1">TODAY()</f>
        <v>42467</v>
      </c>
      <c r="AD1" s="896"/>
      <c r="AE1" s="767"/>
      <c r="AF1" s="767"/>
      <c r="AG1" s="767"/>
      <c r="AH1" s="767"/>
      <c r="AI1" s="10"/>
    </row>
    <row r="2" spans="1:35" ht="15" customHeight="1" thickBot="1">
      <c r="A2" s="763"/>
      <c r="B2" s="764"/>
      <c r="C2" s="764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892"/>
      <c r="R2" s="892"/>
      <c r="S2" s="892"/>
      <c r="T2" s="892"/>
      <c r="U2" s="892"/>
      <c r="V2" s="892"/>
      <c r="W2" s="892"/>
      <c r="X2" s="892"/>
      <c r="Y2" s="892"/>
      <c r="Z2" s="782"/>
      <c r="AA2" s="766"/>
      <c r="AB2" s="766"/>
      <c r="AC2" s="766"/>
      <c r="AD2" s="766"/>
      <c r="AE2" s="767"/>
      <c r="AF2" s="767"/>
      <c r="AG2" s="767"/>
      <c r="AH2" s="767"/>
      <c r="AI2" s="10"/>
    </row>
    <row r="3" spans="1:35" ht="3" customHeight="1">
      <c r="J3" s="768"/>
      <c r="T3" s="768"/>
    </row>
    <row r="4" spans="1:35" ht="10.5" customHeight="1">
      <c r="B4" s="888" t="s">
        <v>2052</v>
      </c>
      <c r="C4" s="889"/>
      <c r="D4" s="889"/>
      <c r="E4" s="889"/>
      <c r="F4" s="889"/>
      <c r="G4" s="889"/>
      <c r="H4" s="889"/>
      <c r="I4" s="890"/>
      <c r="J4" s="769"/>
      <c r="T4" s="769"/>
    </row>
    <row r="5" spans="1:35" ht="10.5" customHeight="1">
      <c r="J5" s="769"/>
      <c r="K5" s="774"/>
      <c r="L5" s="775"/>
      <c r="M5" s="775"/>
      <c r="T5" s="769"/>
      <c r="U5" s="773"/>
    </row>
    <row r="6" spans="1:35" ht="15" customHeight="1">
      <c r="J6" s="769"/>
      <c r="P6" s="11"/>
      <c r="Q6" s="779"/>
      <c r="R6" s="778"/>
      <c r="S6" s="778"/>
      <c r="T6" s="769"/>
    </row>
    <row r="7" spans="1:35" ht="15" customHeight="1">
      <c r="J7" s="769"/>
      <c r="T7" s="769"/>
    </row>
    <row r="8" spans="1:35" ht="15" customHeight="1">
      <c r="J8" s="769"/>
      <c r="T8" s="769"/>
    </row>
    <row r="9" spans="1:35" ht="15" customHeight="1">
      <c r="J9" s="769"/>
      <c r="T9" s="769"/>
    </row>
    <row r="10" spans="1:35" ht="15" customHeight="1">
      <c r="J10" s="769"/>
      <c r="T10" s="769"/>
    </row>
    <row r="11" spans="1:35" ht="15" customHeight="1">
      <c r="J11" s="769"/>
      <c r="T11" s="769"/>
    </row>
    <row r="12" spans="1:35" ht="15" customHeight="1">
      <c r="J12" s="769"/>
      <c r="T12" s="769"/>
    </row>
    <row r="13" spans="1:35" ht="15" customHeight="1">
      <c r="J13" s="769"/>
      <c r="T13" s="769"/>
    </row>
    <row r="14" spans="1:35" ht="15" customHeight="1">
      <c r="J14" s="769"/>
      <c r="T14" s="769"/>
      <c r="V14" s="786"/>
      <c r="W14" s="786"/>
      <c r="X14" s="786"/>
      <c r="Y14" s="786"/>
      <c r="Z14" s="786"/>
      <c r="AA14" s="786"/>
      <c r="AB14" s="786"/>
      <c r="AC14" s="786"/>
    </row>
    <row r="15" spans="1:35" ht="15" customHeight="1">
      <c r="J15" s="769"/>
      <c r="T15" s="769"/>
      <c r="U15" s="777"/>
      <c r="V15" s="778"/>
      <c r="W15" s="778"/>
    </row>
    <row r="16" spans="1:35" ht="15" customHeight="1">
      <c r="J16" s="769"/>
      <c r="T16" s="769"/>
      <c r="V16" s="786"/>
      <c r="W16" s="786"/>
      <c r="X16" s="786"/>
      <c r="Y16" s="786"/>
      <c r="Z16" s="786"/>
      <c r="AA16" s="786"/>
      <c r="AB16" s="786"/>
      <c r="AC16" s="786"/>
    </row>
    <row r="17" spans="7:23" ht="15" customHeight="1">
      <c r="J17" s="769"/>
      <c r="T17" s="769"/>
    </row>
    <row r="18" spans="7:23" ht="15" customHeight="1">
      <c r="J18" s="769"/>
      <c r="T18" s="769"/>
    </row>
    <row r="19" spans="7:23" ht="15" customHeight="1">
      <c r="J19" s="769"/>
      <c r="T19" s="769"/>
    </row>
    <row r="20" spans="7:23" ht="15" customHeight="1">
      <c r="J20" s="769"/>
      <c r="T20" s="769"/>
    </row>
    <row r="21" spans="7:23" ht="15" customHeight="1">
      <c r="J21" s="769"/>
      <c r="T21" s="769"/>
    </row>
    <row r="22" spans="7:23" ht="15" customHeight="1">
      <c r="J22" s="769"/>
      <c r="T22" s="769"/>
    </row>
    <row r="23" spans="7:23" ht="15" customHeight="1">
      <c r="J23" s="769"/>
      <c r="T23" s="769"/>
    </row>
    <row r="24" spans="7:23" ht="15" customHeight="1">
      <c r="J24" s="769"/>
      <c r="T24" s="769"/>
    </row>
    <row r="25" spans="7:23" ht="15" customHeight="1">
      <c r="J25" s="769"/>
      <c r="T25" s="769"/>
      <c r="U25" s="777"/>
      <c r="V25" s="778"/>
      <c r="W25" s="778"/>
    </row>
    <row r="26" spans="7:23" ht="15" customHeight="1">
      <c r="J26" s="769"/>
      <c r="T26" s="769"/>
    </row>
    <row r="27" spans="7:23" ht="15" customHeight="1">
      <c r="J27" s="769"/>
      <c r="T27" s="769"/>
    </row>
    <row r="28" spans="7:23" ht="15" customHeight="1">
      <c r="J28" s="769"/>
      <c r="T28" s="769"/>
    </row>
    <row r="29" spans="7:23" ht="15" customHeight="1">
      <c r="J29" s="769"/>
      <c r="T29" s="769"/>
    </row>
    <row r="30" spans="7:23" ht="15" customHeight="1">
      <c r="H30" s="783"/>
      <c r="I30" s="11"/>
      <c r="J30" s="769"/>
      <c r="T30" s="769"/>
    </row>
    <row r="31" spans="7:23" ht="15" customHeight="1">
      <c r="G31" s="893" t="s">
        <v>2056</v>
      </c>
      <c r="H31" s="894"/>
      <c r="I31" s="895"/>
      <c r="J31" s="784"/>
      <c r="T31" s="769"/>
    </row>
    <row r="32" spans="7:23" ht="15" customHeight="1">
      <c r="G32" s="11"/>
      <c r="H32" s="11"/>
      <c r="J32" s="769"/>
      <c r="T32" s="769"/>
    </row>
    <row r="33" spans="2:23" ht="15" customHeight="1">
      <c r="J33" s="769"/>
      <c r="T33" s="769"/>
    </row>
    <row r="34" spans="2:23" ht="15" customHeight="1">
      <c r="J34" s="769"/>
      <c r="T34" s="769"/>
    </row>
    <row r="35" spans="2:23" ht="15" customHeight="1">
      <c r="J35" s="769"/>
      <c r="T35" s="769"/>
      <c r="U35" s="777"/>
      <c r="V35" s="778"/>
      <c r="W35" s="778"/>
    </row>
    <row r="36" spans="2:23" ht="15" customHeight="1">
      <c r="J36" s="769"/>
      <c r="T36" s="769"/>
    </row>
    <row r="37" spans="2:23" ht="15" customHeight="1">
      <c r="B37" s="786"/>
      <c r="C37" s="786"/>
      <c r="D37" s="786"/>
      <c r="E37" s="786"/>
      <c r="F37" s="786"/>
      <c r="G37" s="786"/>
      <c r="H37" s="786"/>
      <c r="I37" s="786"/>
      <c r="J37" s="769"/>
      <c r="T37" s="769"/>
    </row>
    <row r="38" spans="2:23" ht="15" customHeight="1">
      <c r="J38" s="769"/>
      <c r="T38" s="769"/>
    </row>
    <row r="39" spans="2:23" ht="15" customHeight="1">
      <c r="J39" s="769"/>
      <c r="T39" s="769"/>
    </row>
    <row r="40" spans="2:23" ht="15" customHeight="1">
      <c r="J40" s="769"/>
      <c r="T40" s="769"/>
    </row>
    <row r="41" spans="2:23" ht="15" customHeight="1">
      <c r="J41" s="769"/>
      <c r="T41" s="769"/>
    </row>
    <row r="42" spans="2:23" ht="15" customHeight="1">
      <c r="J42" s="769"/>
      <c r="T42" s="769"/>
    </row>
    <row r="43" spans="2:23" ht="15" customHeight="1">
      <c r="J43" s="769"/>
      <c r="T43" s="769"/>
    </row>
    <row r="44" spans="2:23" ht="15" customHeight="1">
      <c r="J44" s="769"/>
      <c r="T44" s="769"/>
    </row>
    <row r="45" spans="2:23" ht="15" customHeight="1">
      <c r="J45" s="769"/>
      <c r="T45" s="769"/>
      <c r="U45" s="780"/>
      <c r="V45" s="781"/>
      <c r="W45" s="781"/>
    </row>
    <row r="46" spans="2:23" ht="15" customHeight="1">
      <c r="J46" s="769"/>
      <c r="T46" s="769"/>
    </row>
    <row r="47" spans="2:23" ht="15" customHeight="1">
      <c r="J47" s="769"/>
      <c r="T47" s="769"/>
    </row>
    <row r="48" spans="2:23" ht="15" customHeight="1">
      <c r="J48" s="769"/>
      <c r="T48" s="769"/>
    </row>
    <row r="49" spans="10:20" ht="15" customHeight="1">
      <c r="J49" s="769"/>
      <c r="T49" s="769"/>
    </row>
    <row r="50" spans="10:20" ht="15" customHeight="1">
      <c r="J50" s="769"/>
      <c r="T50" s="769"/>
    </row>
    <row r="51" spans="10:20" ht="15" customHeight="1">
      <c r="K51" s="776"/>
      <c r="T51" s="769"/>
    </row>
    <row r="52" spans="10:20" ht="15" customHeight="1">
      <c r="K52" s="776"/>
      <c r="T52" s="769"/>
    </row>
    <row r="53" spans="10:20" ht="15" customHeight="1"/>
    <row r="54" spans="10:20" ht="15" customHeight="1"/>
    <row r="55" spans="10:20" ht="15" customHeight="1"/>
    <row r="56" spans="10:20" ht="15" customHeight="1"/>
    <row r="57" spans="10:20" ht="15" customHeight="1"/>
    <row r="58" spans="10:20" ht="15" customHeight="1"/>
    <row r="59" spans="10:20" ht="15" customHeight="1"/>
    <row r="60" spans="10:20" ht="15" customHeight="1"/>
    <row r="61" spans="10:20" ht="15" customHeight="1"/>
    <row r="62" spans="10:20" ht="15" customHeight="1"/>
    <row r="63" spans="10:20" ht="15" customHeight="1"/>
  </sheetData>
  <mergeCells count="5">
    <mergeCell ref="G31:I31"/>
    <mergeCell ref="D1:Y2"/>
    <mergeCell ref="AA1:AB1"/>
    <mergeCell ref="AC1:AD1"/>
    <mergeCell ref="B4:I4"/>
  </mergeCells>
  <pageMargins left="0.25" right="0.25" top="0.75" bottom="0.75" header="0.3" footer="0.3"/>
  <pageSetup paperSize="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theme="9"/>
  </sheetPr>
  <dimension ref="A1:Y124"/>
  <sheetViews>
    <sheetView zoomScale="85" zoomScaleNormal="85" workbookViewId="0">
      <selection activeCell="B16" sqref="B16"/>
    </sheetView>
  </sheetViews>
  <sheetFormatPr baseColWidth="10" defaultRowHeight="15"/>
  <cols>
    <col min="1" max="1" width="16.7109375" customWidth="1"/>
    <col min="2" max="2" width="13.85546875" customWidth="1"/>
    <col min="3" max="3" width="12.7109375" customWidth="1"/>
    <col min="4" max="4" width="12.7109375" bestFit="1" customWidth="1"/>
    <col min="5" max="5" width="12.28515625" customWidth="1"/>
    <col min="6" max="6" width="13.28515625" customWidth="1"/>
    <col min="8" max="8" width="10.5703125" customWidth="1"/>
    <col min="9" max="9" width="10.140625" customWidth="1"/>
    <col min="10" max="10" width="10.5703125" customWidth="1"/>
    <col min="11" max="11" width="10.140625" customWidth="1"/>
    <col min="12" max="12" width="10.42578125" customWidth="1"/>
    <col min="13" max="13" width="11" customWidth="1"/>
    <col min="14" max="14" width="10.42578125" customWidth="1"/>
    <col min="15" max="15" width="11.28515625" customWidth="1"/>
    <col min="16" max="16" width="10.42578125" customWidth="1"/>
    <col min="17" max="17" width="10.140625" customWidth="1"/>
    <col min="18" max="18" width="11.5703125" customWidth="1"/>
    <col min="19" max="19" width="13.5703125" customWidth="1"/>
    <col min="20" max="20" width="21.42578125" customWidth="1"/>
    <col min="21" max="21" width="13.42578125" customWidth="1"/>
    <col min="23" max="23" width="13.85546875" customWidth="1"/>
    <col min="24" max="24" width="13.42578125" customWidth="1"/>
    <col min="25" max="25" width="17.28515625" customWidth="1"/>
  </cols>
  <sheetData>
    <row r="1" spans="1:25" ht="15" customHeight="1">
      <c r="A1" s="936" t="s">
        <v>2044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8"/>
      <c r="Q1" s="936" t="s">
        <v>2028</v>
      </c>
      <c r="R1" s="937"/>
      <c r="S1" s="937"/>
      <c r="T1" s="937"/>
      <c r="U1" s="938"/>
    </row>
    <row r="2" spans="1:25" ht="15" customHeight="1" thickBot="1">
      <c r="A2" s="939"/>
      <c r="B2" s="940"/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1"/>
      <c r="O2" s="11"/>
      <c r="P2" s="11"/>
      <c r="Q2" s="939"/>
      <c r="R2" s="940"/>
      <c r="S2" s="940"/>
      <c r="T2" s="940"/>
      <c r="U2" s="941"/>
      <c r="W2" s="459"/>
      <c r="X2" s="459"/>
      <c r="Y2" s="459"/>
    </row>
    <row r="3" spans="1:25" ht="21" customHeight="1" thickBot="1">
      <c r="O3" s="10"/>
      <c r="P3" s="10"/>
      <c r="Q3" s="10"/>
      <c r="R3" s="10"/>
      <c r="S3" s="10"/>
      <c r="W3" s="459"/>
      <c r="X3" s="459"/>
      <c r="Y3" s="459"/>
    </row>
    <row r="4" spans="1:25" ht="20.25" customHeight="1">
      <c r="A4" s="967" t="s">
        <v>1988</v>
      </c>
      <c r="B4" s="958" t="s">
        <v>1918</v>
      </c>
      <c r="C4" s="956" t="s">
        <v>26</v>
      </c>
      <c r="D4" s="956"/>
      <c r="E4" s="956"/>
      <c r="F4" s="956" t="s">
        <v>1999</v>
      </c>
      <c r="G4" s="956"/>
      <c r="H4" s="956"/>
      <c r="I4" s="956" t="s">
        <v>81</v>
      </c>
      <c r="J4" s="956"/>
      <c r="K4" s="956"/>
      <c r="L4" s="956" t="s">
        <v>82</v>
      </c>
      <c r="M4" s="956"/>
      <c r="N4" s="957"/>
      <c r="O4" s="10"/>
      <c r="P4" s="10"/>
      <c r="Q4" s="952" t="s">
        <v>1988</v>
      </c>
      <c r="R4" s="953"/>
      <c r="S4" s="958" t="s">
        <v>1918</v>
      </c>
      <c r="T4" s="965" t="s">
        <v>2035</v>
      </c>
      <c r="U4" s="960" t="s">
        <v>2013</v>
      </c>
      <c r="W4" s="459"/>
      <c r="X4" s="459"/>
      <c r="Y4" s="459"/>
    </row>
    <row r="5" spans="1:25" ht="15.75" customHeight="1">
      <c r="A5" s="968"/>
      <c r="B5" s="959"/>
      <c r="C5" s="59" t="s">
        <v>1996</v>
      </c>
      <c r="D5" s="59" t="s">
        <v>1997</v>
      </c>
      <c r="E5" s="59" t="s">
        <v>83</v>
      </c>
      <c r="F5" s="59" t="s">
        <v>1996</v>
      </c>
      <c r="G5" s="59" t="s">
        <v>1997</v>
      </c>
      <c r="H5" s="59" t="s">
        <v>83</v>
      </c>
      <c r="I5" s="59" t="s">
        <v>1996</v>
      </c>
      <c r="J5" s="59" t="s">
        <v>1997</v>
      </c>
      <c r="K5" s="59" t="s">
        <v>83</v>
      </c>
      <c r="L5" s="59" t="s">
        <v>1996</v>
      </c>
      <c r="M5" s="59" t="s">
        <v>1997</v>
      </c>
      <c r="N5" s="475" t="s">
        <v>83</v>
      </c>
      <c r="O5" s="469"/>
      <c r="P5" s="469"/>
      <c r="Q5" s="954"/>
      <c r="R5" s="955"/>
      <c r="S5" s="959"/>
      <c r="T5" s="966"/>
      <c r="U5" s="961"/>
      <c r="W5" s="459"/>
      <c r="X5" s="459"/>
      <c r="Y5" s="459"/>
    </row>
    <row r="6" spans="1:25" ht="16.5" customHeight="1">
      <c r="A6" s="963" t="s">
        <v>1989</v>
      </c>
      <c r="B6" s="60" t="s">
        <v>21</v>
      </c>
      <c r="C6" s="461">
        <f>'Budget-Réel '!AB40</f>
        <v>96.476551969603378</v>
      </c>
      <c r="D6" s="462">
        <f>'Budget-Réel '!AB43</f>
        <v>1768701.1819816921</v>
      </c>
      <c r="E6" s="463">
        <f>IF(C6=0,0,IF(D6=0,0,(D6/C6)))</f>
        <v>18332.96428896995</v>
      </c>
      <c r="F6" s="461">
        <f>'Budget-Réel '!E40</f>
        <v>294.47736671231172</v>
      </c>
      <c r="G6" s="462">
        <f>'Budget-Réel '!E43</f>
        <v>1385578.0524004267</v>
      </c>
      <c r="H6" s="463">
        <f>IF(F6=0,0,IF(G6=0,0,(G6/F6)))</f>
        <v>4705.210685186752</v>
      </c>
      <c r="I6" s="461">
        <f t="shared" ref="I6:J9" si="0">L6-F6</f>
        <v>-294.47736671231172</v>
      </c>
      <c r="J6" s="462">
        <f t="shared" si="0"/>
        <v>-1385578.0524004267</v>
      </c>
      <c r="K6" s="463">
        <f>IF(I6=0,0,IF(J6=0,0,J6/I6))</f>
        <v>4705.210685186752</v>
      </c>
      <c r="L6" s="461">
        <f>[4]BDD!$W$362*1000</f>
        <v>0</v>
      </c>
      <c r="M6" s="462">
        <f>[4]BDD!$W$363*1000</f>
        <v>0</v>
      </c>
      <c r="N6" s="464">
        <f>IF(L6=0,0,IF(M6=0,0,(M6/L6)))</f>
        <v>0</v>
      </c>
      <c r="O6" s="470"/>
      <c r="P6" s="470"/>
      <c r="Q6" s="946" t="s">
        <v>1989</v>
      </c>
      <c r="R6" s="947"/>
      <c r="S6" s="60" t="s">
        <v>21</v>
      </c>
      <c r="T6" s="478">
        <f>IF(I6=0,0,IF(L6=0,0,(L6-I6)/L6))</f>
        <v>0</v>
      </c>
      <c r="U6" s="464">
        <f>IF(I6=0,0,((I6/1100)/11))</f>
        <v>-2.4336972455562954E-2</v>
      </c>
      <c r="W6" s="459"/>
      <c r="X6" s="459"/>
      <c r="Y6" s="459"/>
    </row>
    <row r="7" spans="1:25" ht="14.25" customHeight="1">
      <c r="A7" s="963"/>
      <c r="B7" s="61" t="s">
        <v>28</v>
      </c>
      <c r="C7" s="53">
        <f>'Budget-Réel '!AB26</f>
        <v>19.668331995977251</v>
      </c>
      <c r="D7" s="54">
        <f>'Budget-Réel '!AB30</f>
        <v>5414.3924827956707</v>
      </c>
      <c r="E7" s="467">
        <f>IF(C7=0,0,IF(D7=0,0,(D7/C7)))</f>
        <v>275.28478184642563</v>
      </c>
      <c r="F7" s="53">
        <f>'Budget-Réel '!E26</f>
        <v>44.830852865163536</v>
      </c>
      <c r="G7" s="54">
        <f>'Budget-Réel '!E30</f>
        <v>0</v>
      </c>
      <c r="H7" s="467">
        <f>IF(F7=0,0,IF(G7=0,0,(G7/F7)))</f>
        <v>0</v>
      </c>
      <c r="I7" s="53">
        <f t="shared" si="0"/>
        <v>-44.830852865163536</v>
      </c>
      <c r="J7" s="468">
        <f t="shared" si="0"/>
        <v>0</v>
      </c>
      <c r="K7" s="467">
        <f>IF(I7=0,0,IF(J7=0,0,J7/I7))</f>
        <v>0</v>
      </c>
      <c r="L7" s="53">
        <f>[4]BDD!$W$365*1000</f>
        <v>0</v>
      </c>
      <c r="M7" s="54">
        <f>[4]BDD!$W$366</f>
        <v>0</v>
      </c>
      <c r="N7" s="476">
        <f>IF(L7=0,0,IF(M7=0,0,(M7/L7)))</f>
        <v>0</v>
      </c>
      <c r="O7" s="470"/>
      <c r="P7" s="470"/>
      <c r="Q7" s="946"/>
      <c r="R7" s="947"/>
      <c r="S7" s="61" t="s">
        <v>28</v>
      </c>
      <c r="T7" s="479">
        <f>IF(I7=0,0,IF(L7=0,0,(L7-I7)/L7))</f>
        <v>0</v>
      </c>
      <c r="U7" s="476">
        <f>IF(I7=0,0,((I7/1100)/11))</f>
        <v>-3.7050291624102093E-3</v>
      </c>
      <c r="W7" s="459"/>
      <c r="X7" s="459"/>
      <c r="Y7" s="459"/>
    </row>
    <row r="8" spans="1:25" ht="15" customHeight="1">
      <c r="A8" s="963"/>
      <c r="B8" s="62" t="s">
        <v>6</v>
      </c>
      <c r="C8" s="53">
        <f>'Budget-Réel '!AB11</f>
        <v>0</v>
      </c>
      <c r="D8" s="54">
        <f>'Budget-Réel '!AB15</f>
        <v>0</v>
      </c>
      <c r="E8" s="467">
        <f>IF(C8=0,0,IF(D8=0,0,(D8/C8)))</f>
        <v>0</v>
      </c>
      <c r="F8" s="53">
        <f>'Budget-Réel '!E11</f>
        <v>18.11211203013676</v>
      </c>
      <c r="G8" s="54">
        <f>'Budget-Réel '!E15</f>
        <v>1069623</v>
      </c>
      <c r="H8" s="467">
        <f>IF(F8=0,0,IF(G8=0,0,(G8/F8)))</f>
        <v>59055.674910814007</v>
      </c>
      <c r="I8" s="53">
        <f t="shared" si="0"/>
        <v>-18.11211203013676</v>
      </c>
      <c r="J8" s="468">
        <f t="shared" si="0"/>
        <v>-1069623</v>
      </c>
      <c r="K8" s="467">
        <f>IF(I8=0,0,IF(J8=0,0,J8/I8))</f>
        <v>59055.674910814007</v>
      </c>
      <c r="L8" s="53">
        <f>[4]BDD!$W$368*1000</f>
        <v>0</v>
      </c>
      <c r="M8" s="54">
        <f>[4]BDD!$W$369*1000</f>
        <v>0</v>
      </c>
      <c r="N8" s="476">
        <f>IF(L8=0,0,IF(M8=0,0,(M8/L8)))</f>
        <v>0</v>
      </c>
      <c r="O8" s="470"/>
      <c r="P8" s="470"/>
      <c r="Q8" s="946"/>
      <c r="R8" s="947"/>
      <c r="S8" s="62" t="s">
        <v>6</v>
      </c>
      <c r="T8" s="479">
        <f>IF(I8=0,0,IF(L8=0,0,(L8-I8)/L8))</f>
        <v>0</v>
      </c>
      <c r="U8" s="476">
        <f>IF(I8=0,0,((I8/1100)/11))</f>
        <v>-1.49686876282122E-3</v>
      </c>
      <c r="W8" s="459"/>
      <c r="X8" s="459"/>
      <c r="Y8" s="459"/>
    </row>
    <row r="9" spans="1:25" ht="15" customHeight="1">
      <c r="A9" s="963"/>
      <c r="B9" s="489" t="s">
        <v>41</v>
      </c>
      <c r="C9" s="53">
        <f>'Budget-Réel '!D53</f>
        <v>159098.48878321657</v>
      </c>
      <c r="D9" s="54">
        <f>'Budget-Réel '!D54</f>
        <v>0</v>
      </c>
      <c r="E9" s="467">
        <f>IF(C9=0,0,IF(D9=0,0,(D9/C9)))</f>
        <v>0</v>
      </c>
      <c r="F9" s="53">
        <f>'Budget-Réel '!E53</f>
        <v>459703.64780000004</v>
      </c>
      <c r="G9" s="54">
        <f>'Budget-Réel '!E54</f>
        <v>6.9821260583254938</v>
      </c>
      <c r="H9" s="467">
        <f>IF(F9=0,0,IF(G9=0,0,(G9/F9)))</f>
        <v>1.5188319892043052E-5</v>
      </c>
      <c r="I9" s="53">
        <f t="shared" si="0"/>
        <v>-459703.64780000004</v>
      </c>
      <c r="J9" s="468">
        <f t="shared" si="0"/>
        <v>-6.9821260583254938</v>
      </c>
      <c r="K9" s="467">
        <f>IF(I9=0,0,IF(J9=0,0,J9/I9))</f>
        <v>1.5188319892043052E-5</v>
      </c>
      <c r="L9" s="53">
        <f>[4]BDD!$W$371*1000</f>
        <v>0</v>
      </c>
      <c r="M9" s="54">
        <f>[4]BDD!$W$372*1000</f>
        <v>0</v>
      </c>
      <c r="N9" s="476">
        <f>IF(L9=0,0,IF(M9=0,0,(M9/L9)))</f>
        <v>0</v>
      </c>
      <c r="O9" s="470"/>
      <c r="P9" s="470"/>
      <c r="Q9" s="946"/>
      <c r="R9" s="947"/>
      <c r="S9" s="489" t="s">
        <v>41</v>
      </c>
      <c r="T9" s="479">
        <f>IF(I9=0,0,IF(L9=0,0,(L9-I9)/L9))</f>
        <v>0</v>
      </c>
      <c r="U9" s="476">
        <f>IF(I9=0,0,((I9/1100)/11))</f>
        <v>-37.992037008264468</v>
      </c>
      <c r="W9" s="459"/>
      <c r="X9" s="459"/>
      <c r="Y9" s="459"/>
    </row>
    <row r="10" spans="1:25" ht="15.75" customHeight="1" thickBot="1">
      <c r="A10" s="964"/>
      <c r="B10" s="460" t="s">
        <v>3</v>
      </c>
      <c r="C10" s="465">
        <f t="shared" ref="C10:M10" si="1">SUM(C6:C9)</f>
        <v>159214.63366718215</v>
      </c>
      <c r="D10" s="466">
        <f t="shared" si="1"/>
        <v>1774115.5744644878</v>
      </c>
      <c r="E10" s="473">
        <f>IF(C10=0,0,IF(D10=0,0,(D10/C10)))</f>
        <v>11.14291779343003</v>
      </c>
      <c r="F10" s="465">
        <f t="shared" si="1"/>
        <v>460061.06813160767</v>
      </c>
      <c r="G10" s="466">
        <f t="shared" si="1"/>
        <v>2455208.0345264855</v>
      </c>
      <c r="H10" s="473">
        <f>IF(F10=0,0,IF(G10=0,0,(G10/F10)))</f>
        <v>5.3367002874151801</v>
      </c>
      <c r="I10" s="465">
        <f t="shared" si="1"/>
        <v>-460061.06813160767</v>
      </c>
      <c r="J10" s="466">
        <f t="shared" si="1"/>
        <v>-2455208.0345264855</v>
      </c>
      <c r="K10" s="473">
        <f>IF(I10=0,0,IF(J10=0,0,J10/I10))</f>
        <v>5.3367002874151801</v>
      </c>
      <c r="L10" s="465">
        <f t="shared" si="1"/>
        <v>0</v>
      </c>
      <c r="M10" s="466">
        <f t="shared" si="1"/>
        <v>0</v>
      </c>
      <c r="N10" s="477">
        <f>IF(L10=0,0,IF(M10=0,0,(M10/L10)))</f>
        <v>0</v>
      </c>
      <c r="O10" s="471"/>
      <c r="P10" s="471"/>
      <c r="Q10" s="948"/>
      <c r="R10" s="949"/>
      <c r="S10" s="460" t="s">
        <v>3</v>
      </c>
      <c r="T10" s="480">
        <f>IF(I10=0,0,IF(L10=0,0,(L10-I10)/L10))</f>
        <v>0</v>
      </c>
      <c r="U10" s="477">
        <f>IF(I10=0,0,((I10/1100)/11))</f>
        <v>-38.021575878645258</v>
      </c>
    </row>
    <row r="11" spans="1:25" ht="15" customHeight="1">
      <c r="A11" s="962" t="s">
        <v>1998</v>
      </c>
      <c r="B11" s="958" t="s">
        <v>1918</v>
      </c>
      <c r="C11" s="956" t="s">
        <v>26</v>
      </c>
      <c r="D11" s="956"/>
      <c r="E11" s="956"/>
      <c r="F11" s="956" t="s">
        <v>2000</v>
      </c>
      <c r="G11" s="956"/>
      <c r="H11" s="956"/>
      <c r="I11" s="956" t="s">
        <v>81</v>
      </c>
      <c r="J11" s="956"/>
      <c r="K11" s="956"/>
      <c r="L11" s="956" t="s">
        <v>82</v>
      </c>
      <c r="M11" s="956"/>
      <c r="N11" s="957"/>
      <c r="O11" s="472"/>
      <c r="P11" s="472"/>
      <c r="Q11" s="950" t="s">
        <v>1998</v>
      </c>
      <c r="R11" s="951"/>
      <c r="S11" s="958" t="s">
        <v>1918</v>
      </c>
      <c r="T11" s="965" t="s">
        <v>2035</v>
      </c>
      <c r="U11" s="960" t="s">
        <v>2013</v>
      </c>
    </row>
    <row r="12" spans="1:25" ht="15" customHeight="1">
      <c r="A12" s="963"/>
      <c r="B12" s="959"/>
      <c r="C12" s="59" t="s">
        <v>1996</v>
      </c>
      <c r="D12" s="59" t="s">
        <v>1997</v>
      </c>
      <c r="E12" s="59" t="s">
        <v>83</v>
      </c>
      <c r="F12" s="59" t="s">
        <v>1996</v>
      </c>
      <c r="G12" s="59" t="s">
        <v>1997</v>
      </c>
      <c r="H12" s="59" t="s">
        <v>83</v>
      </c>
      <c r="I12" s="59" t="s">
        <v>1996</v>
      </c>
      <c r="J12" s="59" t="s">
        <v>1997</v>
      </c>
      <c r="K12" s="59" t="s">
        <v>83</v>
      </c>
      <c r="L12" s="59" t="s">
        <v>84</v>
      </c>
      <c r="M12" s="59" t="s">
        <v>1997</v>
      </c>
      <c r="N12" s="475" t="s">
        <v>83</v>
      </c>
      <c r="O12" s="469"/>
      <c r="P12" s="469"/>
      <c r="Q12" s="946"/>
      <c r="R12" s="947"/>
      <c r="S12" s="959"/>
      <c r="T12" s="966"/>
      <c r="U12" s="961"/>
    </row>
    <row r="13" spans="1:25" ht="15" customHeight="1">
      <c r="A13" s="963"/>
      <c r="B13" s="60" t="s">
        <v>21</v>
      </c>
      <c r="C13" s="461">
        <f t="shared" ref="C13:E16" si="2">C6</f>
        <v>96.476551969603378</v>
      </c>
      <c r="D13" s="462">
        <f t="shared" si="2"/>
        <v>1768701.1819816921</v>
      </c>
      <c r="E13" s="463">
        <f t="shared" si="2"/>
        <v>18332.96428896995</v>
      </c>
      <c r="F13" s="461">
        <f>F6+'Budget-Réel '!G40</f>
        <v>772.37316659182966</v>
      </c>
      <c r="G13" s="462">
        <f>G6+'Budget-Réel '!G43</f>
        <v>2771156.1048008534</v>
      </c>
      <c r="H13" s="463">
        <f>IF(F13=0,0,IF(G13=0,0,G13/F13))</f>
        <v>3587.8461664182928</v>
      </c>
      <c r="I13" s="461">
        <f t="shared" ref="I13:J16" si="3">L13-F13</f>
        <v>-772.37316659182966</v>
      </c>
      <c r="J13" s="462">
        <f t="shared" si="3"/>
        <v>-2771156.1048008534</v>
      </c>
      <c r="K13" s="467">
        <f>IF(I13=0,0,IF(J13=0,0,J13/I13))</f>
        <v>3587.8461664182928</v>
      </c>
      <c r="L13" s="461">
        <f>L6</f>
        <v>0</v>
      </c>
      <c r="M13" s="462">
        <f>M6</f>
        <v>0</v>
      </c>
      <c r="N13" s="464">
        <f>N6</f>
        <v>0</v>
      </c>
      <c r="O13" s="470"/>
      <c r="P13" s="470"/>
      <c r="Q13" s="946"/>
      <c r="R13" s="947"/>
      <c r="S13" s="60" t="s">
        <v>21</v>
      </c>
      <c r="T13" s="478">
        <f>IF(L13=0,0,IF(I13=0,0,(L13-I13)/L13))</f>
        <v>0</v>
      </c>
      <c r="U13" s="464">
        <f>IF(I13=0,0,(I13/1100)/10)</f>
        <v>-7.0215742417439067E-2</v>
      </c>
    </row>
    <row r="14" spans="1:25" ht="15" customHeight="1">
      <c r="A14" s="963"/>
      <c r="B14" s="61" t="s">
        <v>28</v>
      </c>
      <c r="C14" s="53">
        <f t="shared" si="2"/>
        <v>19.668331995977251</v>
      </c>
      <c r="D14" s="54">
        <f t="shared" si="2"/>
        <v>5414.3924827956707</v>
      </c>
      <c r="E14" s="467">
        <f t="shared" si="2"/>
        <v>275.28478184642563</v>
      </c>
      <c r="F14" s="53">
        <f>F7+'Budget-Réel '!G26</f>
        <v>81.022276277742534</v>
      </c>
      <c r="G14" s="54">
        <f>G7+'Budget-Réel '!G30</f>
        <v>0</v>
      </c>
      <c r="H14" s="467">
        <f>IF(F14=0,0,IF(G14=0,0,G14/F14))</f>
        <v>0</v>
      </c>
      <c r="I14" s="53">
        <f t="shared" si="3"/>
        <v>-81.022276277742534</v>
      </c>
      <c r="J14" s="468">
        <f t="shared" si="3"/>
        <v>0</v>
      </c>
      <c r="K14" s="467">
        <f>IF(I14=0,0,IF(J14=0,0,J14/I14))</f>
        <v>0</v>
      </c>
      <c r="L14" s="53">
        <f t="shared" ref="L14:M16" si="4">L7</f>
        <v>0</v>
      </c>
      <c r="M14" s="54">
        <f t="shared" si="4"/>
        <v>0</v>
      </c>
      <c r="N14" s="476">
        <f>N7</f>
        <v>0</v>
      </c>
      <c r="O14" s="471"/>
      <c r="P14" s="471"/>
      <c r="Q14" s="946"/>
      <c r="R14" s="947"/>
      <c r="S14" s="61" t="s">
        <v>28</v>
      </c>
      <c r="T14" s="479">
        <f>IF(L14=0,0,IF(I14=0,0,(L14-I14)/L14))</f>
        <v>0</v>
      </c>
      <c r="U14" s="476">
        <f>IF(I14=0,0,(I14/1100)/10)</f>
        <v>-7.3656614797947759E-3</v>
      </c>
    </row>
    <row r="15" spans="1:25" ht="15" customHeight="1">
      <c r="A15" s="963"/>
      <c r="B15" s="62" t="s">
        <v>6</v>
      </c>
      <c r="C15" s="53">
        <f t="shared" si="2"/>
        <v>0</v>
      </c>
      <c r="D15" s="54">
        <f t="shared" si="2"/>
        <v>0</v>
      </c>
      <c r="E15" s="467">
        <f t="shared" si="2"/>
        <v>0</v>
      </c>
      <c r="F15" s="53">
        <f>F8+'Budget-Réel '!G11</f>
        <v>34.20221743646114</v>
      </c>
      <c r="G15" s="54">
        <f>G8+'Budget-Réel '!G15</f>
        <v>2346486</v>
      </c>
      <c r="H15" s="467">
        <f>IF(F15=0,0,IF(G15=0,0,G15/F15))</f>
        <v>68606.253508538241</v>
      </c>
      <c r="I15" s="53">
        <f t="shared" si="3"/>
        <v>-34.20221743646114</v>
      </c>
      <c r="J15" s="468">
        <f t="shared" si="3"/>
        <v>-2346486</v>
      </c>
      <c r="K15" s="467">
        <f>IF(I15=0,0,IF(J15=0,0,J15/I15))</f>
        <v>68606.253508538241</v>
      </c>
      <c r="L15" s="53">
        <f t="shared" si="4"/>
        <v>0</v>
      </c>
      <c r="M15" s="54">
        <f t="shared" si="4"/>
        <v>0</v>
      </c>
      <c r="N15" s="476">
        <f>N8</f>
        <v>0</v>
      </c>
      <c r="O15" s="471"/>
      <c r="P15" s="471"/>
      <c r="Q15" s="946"/>
      <c r="R15" s="947"/>
      <c r="S15" s="62" t="s">
        <v>6</v>
      </c>
      <c r="T15" s="479">
        <f>IF(L15=0,0,IF(I15=0,0,(L15-I15)/L15))</f>
        <v>0</v>
      </c>
      <c r="U15" s="476">
        <f>IF(I15=0,0,(I15/1100)/10)</f>
        <v>-3.1092924942237401E-3</v>
      </c>
    </row>
    <row r="16" spans="1:25" ht="15" customHeight="1">
      <c r="A16" s="963"/>
      <c r="B16" s="489" t="s">
        <v>41</v>
      </c>
      <c r="C16" s="53">
        <f t="shared" si="2"/>
        <v>159098.48878321657</v>
      </c>
      <c r="D16" s="54">
        <f t="shared" si="2"/>
        <v>0</v>
      </c>
      <c r="E16" s="467">
        <f t="shared" si="2"/>
        <v>0</v>
      </c>
      <c r="F16" s="53">
        <f>F9+'Budget-Réel '!G53</f>
        <v>861656.99380000005</v>
      </c>
      <c r="G16" s="54">
        <f>G9+'Budget-Réel '!G54</f>
        <v>12.760870019678151</v>
      </c>
      <c r="H16" s="467">
        <f>IF(F16=0,0,IF(G16=0,0,G16/F16))</f>
        <v>1.4809686582361899E-5</v>
      </c>
      <c r="I16" s="53">
        <f t="shared" si="3"/>
        <v>-861656.99380000005</v>
      </c>
      <c r="J16" s="468">
        <f t="shared" si="3"/>
        <v>-12.760870019678151</v>
      </c>
      <c r="K16" s="467">
        <f>IF(I16=0,0,IF(J16=0,0,J16/I16))</f>
        <v>1.4809686582361899E-5</v>
      </c>
      <c r="L16" s="53">
        <f t="shared" si="4"/>
        <v>0</v>
      </c>
      <c r="M16" s="54">
        <f t="shared" si="4"/>
        <v>0</v>
      </c>
      <c r="N16" s="476">
        <f>N9</f>
        <v>0</v>
      </c>
      <c r="O16" s="471"/>
      <c r="P16" s="471"/>
      <c r="Q16" s="946"/>
      <c r="R16" s="947"/>
      <c r="S16" s="489" t="s">
        <v>41</v>
      </c>
      <c r="T16" s="479">
        <f>IF(L16=0,0,IF(I16=0,0,(L16-I16)/L16))</f>
        <v>0</v>
      </c>
      <c r="U16" s="476">
        <f>IF(I16=0,0,(I16/1100)/10)</f>
        <v>-78.33245398181819</v>
      </c>
    </row>
    <row r="17" spans="1:21" ht="15.75" customHeight="1" thickBot="1">
      <c r="A17" s="964"/>
      <c r="B17" s="460" t="s">
        <v>3</v>
      </c>
      <c r="C17" s="465">
        <f>C10</f>
        <v>159214.63366718215</v>
      </c>
      <c r="D17" s="466">
        <f>D10</f>
        <v>1774115.5744644878</v>
      </c>
      <c r="E17" s="473">
        <f>E10</f>
        <v>11.14291779343003</v>
      </c>
      <c r="F17" s="465">
        <f t="shared" ref="F17:M17" si="5">SUM(F13:F16)</f>
        <v>862544.59146030608</v>
      </c>
      <c r="G17" s="466">
        <f t="shared" si="5"/>
        <v>5117654.8656708738</v>
      </c>
      <c r="H17" s="473">
        <f>IF(F17=0,0,IF(G17=0,0,G17/F17))</f>
        <v>5.9332061395302205</v>
      </c>
      <c r="I17" s="465">
        <f t="shared" si="5"/>
        <v>-862544.59146030608</v>
      </c>
      <c r="J17" s="466">
        <f t="shared" si="5"/>
        <v>-5117654.8656708738</v>
      </c>
      <c r="K17" s="474">
        <f>IF(I17=0,0,IF(J17=0,0,J17/I17))</f>
        <v>5.9332061395302205</v>
      </c>
      <c r="L17" s="465">
        <f t="shared" si="5"/>
        <v>0</v>
      </c>
      <c r="M17" s="466">
        <f t="shared" si="5"/>
        <v>0</v>
      </c>
      <c r="N17" s="477">
        <f>N10</f>
        <v>0</v>
      </c>
      <c r="O17" s="471"/>
      <c r="P17" s="471"/>
      <c r="Q17" s="948"/>
      <c r="R17" s="949"/>
      <c r="S17" s="460" t="s">
        <v>3</v>
      </c>
      <c r="T17" s="480">
        <f>IF(L17=0,0,IF(I17=0,0,(L17-I17)/L17))</f>
        <v>0</v>
      </c>
      <c r="U17" s="477">
        <f>IF(I17=0,0,(I17/1100)/10)</f>
        <v>-78.413144678209648</v>
      </c>
    </row>
    <row r="18" spans="1:21" ht="15" customHeight="1">
      <c r="A18" s="962" t="s">
        <v>1990</v>
      </c>
      <c r="B18" s="958" t="s">
        <v>1918</v>
      </c>
      <c r="C18" s="956" t="s">
        <v>26</v>
      </c>
      <c r="D18" s="956"/>
      <c r="E18" s="956"/>
      <c r="F18" s="956" t="s">
        <v>2001</v>
      </c>
      <c r="G18" s="956"/>
      <c r="H18" s="956"/>
      <c r="I18" s="956" t="s">
        <v>81</v>
      </c>
      <c r="J18" s="956"/>
      <c r="K18" s="956"/>
      <c r="L18" s="956" t="s">
        <v>82</v>
      </c>
      <c r="M18" s="956"/>
      <c r="N18" s="957"/>
      <c r="O18" s="472"/>
      <c r="P18" s="472"/>
      <c r="Q18" s="950" t="s">
        <v>1990</v>
      </c>
      <c r="R18" s="951"/>
      <c r="S18" s="958" t="s">
        <v>1918</v>
      </c>
      <c r="T18" s="965" t="s">
        <v>2035</v>
      </c>
      <c r="U18" s="960" t="s">
        <v>2013</v>
      </c>
    </row>
    <row r="19" spans="1:21" ht="15" customHeight="1">
      <c r="A19" s="963"/>
      <c r="B19" s="959"/>
      <c r="C19" s="59" t="s">
        <v>1996</v>
      </c>
      <c r="D19" s="59" t="s">
        <v>1997</v>
      </c>
      <c r="E19" s="59" t="s">
        <v>83</v>
      </c>
      <c r="F19" s="59" t="s">
        <v>1996</v>
      </c>
      <c r="G19" s="59" t="s">
        <v>1997</v>
      </c>
      <c r="H19" s="59" t="s">
        <v>83</v>
      </c>
      <c r="I19" s="59" t="s">
        <v>84</v>
      </c>
      <c r="J19" s="59" t="s">
        <v>1997</v>
      </c>
      <c r="K19" s="59" t="s">
        <v>83</v>
      </c>
      <c r="L19" s="59" t="s">
        <v>84</v>
      </c>
      <c r="M19" s="59" t="s">
        <v>1997</v>
      </c>
      <c r="N19" s="475" t="s">
        <v>83</v>
      </c>
      <c r="O19" s="469"/>
      <c r="P19" s="469"/>
      <c r="Q19" s="946"/>
      <c r="R19" s="947"/>
      <c r="S19" s="959"/>
      <c r="T19" s="966"/>
      <c r="U19" s="961"/>
    </row>
    <row r="20" spans="1:21" ht="15" customHeight="1">
      <c r="A20" s="963"/>
      <c r="B20" s="60" t="s">
        <v>21</v>
      </c>
      <c r="C20" s="461">
        <f t="shared" ref="C20:E23" si="6">C6</f>
        <v>96.476551969603378</v>
      </c>
      <c r="D20" s="462">
        <f t="shared" si="6"/>
        <v>1768701.1819816921</v>
      </c>
      <c r="E20" s="463">
        <f t="shared" si="6"/>
        <v>18332.96428896995</v>
      </c>
      <c r="F20" s="461">
        <f>F13+'Budget-Réel '!I40</f>
        <v>895.90595028251369</v>
      </c>
      <c r="G20" s="462">
        <f>G13+'Budget-Réel '!I43</f>
        <v>4156734.1572012799</v>
      </c>
      <c r="H20" s="463">
        <f>IF(F20=0,0,IF(G20=0,0,G20/F20))</f>
        <v>4639.6992406295567</v>
      </c>
      <c r="I20" s="461">
        <f t="shared" ref="I20:J23" si="7">L20-F20</f>
        <v>-895.90595028251369</v>
      </c>
      <c r="J20" s="462">
        <f t="shared" si="7"/>
        <v>-4156734.1572012799</v>
      </c>
      <c r="K20" s="463">
        <f>IF(I20=0,0,IF(J20=0,0,J20/I20))</f>
        <v>4639.6992406295567</v>
      </c>
      <c r="L20" s="461">
        <f t="shared" ref="L20:N24" si="8">L6</f>
        <v>0</v>
      </c>
      <c r="M20" s="462">
        <f t="shared" si="8"/>
        <v>0</v>
      </c>
      <c r="N20" s="464">
        <f t="shared" si="8"/>
        <v>0</v>
      </c>
      <c r="O20" s="470"/>
      <c r="P20" s="470"/>
      <c r="Q20" s="946"/>
      <c r="R20" s="947"/>
      <c r="S20" s="60" t="s">
        <v>21</v>
      </c>
      <c r="T20" s="478">
        <f>IF(I20=0,0,IF(L20=0,0,(L20-I20)/L20))</f>
        <v>0</v>
      </c>
      <c r="U20" s="464">
        <f>IF(I20=0,0,(I20/1100)/9)</f>
        <v>-9.0495550533587238E-2</v>
      </c>
    </row>
    <row r="21" spans="1:21" ht="15" customHeight="1">
      <c r="A21" s="963"/>
      <c r="B21" s="61" t="s">
        <v>28</v>
      </c>
      <c r="C21" s="53">
        <f t="shared" si="6"/>
        <v>19.668331995977251</v>
      </c>
      <c r="D21" s="54">
        <f t="shared" si="6"/>
        <v>5414.3924827956707</v>
      </c>
      <c r="E21" s="467">
        <f t="shared" si="6"/>
        <v>275.28478184642563</v>
      </c>
      <c r="F21" s="53">
        <f>F14+'Budget-Réel '!I26</f>
        <v>173.61172486194522</v>
      </c>
      <c r="G21" s="54">
        <f>G14+'Budget-Réel '!I30</f>
        <v>0</v>
      </c>
      <c r="H21" s="467">
        <f>IF(F21=0,0,IF(G21=0,0,G21/F21))</f>
        <v>0</v>
      </c>
      <c r="I21" s="53">
        <f t="shared" si="7"/>
        <v>-173.61172486194522</v>
      </c>
      <c r="J21" s="468">
        <f t="shared" si="7"/>
        <v>0</v>
      </c>
      <c r="K21" s="467">
        <f>IF(I21=0,0,IF(J21=0,0,J21/I21))</f>
        <v>0</v>
      </c>
      <c r="L21" s="53">
        <f t="shared" si="8"/>
        <v>0</v>
      </c>
      <c r="M21" s="54">
        <f t="shared" si="8"/>
        <v>0</v>
      </c>
      <c r="N21" s="476">
        <f t="shared" si="8"/>
        <v>0</v>
      </c>
      <c r="O21" s="471"/>
      <c r="P21" s="471"/>
      <c r="Q21" s="946"/>
      <c r="R21" s="947"/>
      <c r="S21" s="61" t="s">
        <v>28</v>
      </c>
      <c r="T21" s="479">
        <f>IF(I21=0,0,IF(L21=0,0,(L21-I21)/L21))</f>
        <v>0</v>
      </c>
      <c r="U21" s="476">
        <f>IF(I21=0,0,(I21/1100)/9)</f>
        <v>-1.7536537864842952E-2</v>
      </c>
    </row>
    <row r="22" spans="1:21" ht="15" customHeight="1">
      <c r="A22" s="963"/>
      <c r="B22" s="62" t="s">
        <v>6</v>
      </c>
      <c r="C22" s="53">
        <f t="shared" si="6"/>
        <v>0</v>
      </c>
      <c r="D22" s="54">
        <f t="shared" si="6"/>
        <v>0</v>
      </c>
      <c r="E22" s="467">
        <f t="shared" si="6"/>
        <v>0</v>
      </c>
      <c r="F22" s="53">
        <f>F15+'Budget-Réel '!I11</f>
        <v>52.347234729149953</v>
      </c>
      <c r="G22" s="54">
        <f>G15+'Budget-Réel '!I15</f>
        <v>4012691</v>
      </c>
      <c r="H22" s="467">
        <f>IF(F22=0,0,IF(G22=0,0,G22/F22))</f>
        <v>76655.262131076859</v>
      </c>
      <c r="I22" s="53">
        <f t="shared" si="7"/>
        <v>-52.347234729149953</v>
      </c>
      <c r="J22" s="468">
        <f t="shared" si="7"/>
        <v>-4012691</v>
      </c>
      <c r="K22" s="467">
        <f>IF(I22=0,0,IF(J22=0,0,J22/I22))</f>
        <v>76655.262131076859</v>
      </c>
      <c r="L22" s="53">
        <f t="shared" si="8"/>
        <v>0</v>
      </c>
      <c r="M22" s="54">
        <f t="shared" si="8"/>
        <v>0</v>
      </c>
      <c r="N22" s="476">
        <f t="shared" si="8"/>
        <v>0</v>
      </c>
      <c r="O22" s="471"/>
      <c r="P22" s="471"/>
      <c r="Q22" s="946"/>
      <c r="R22" s="947"/>
      <c r="S22" s="62" t="s">
        <v>6</v>
      </c>
      <c r="T22" s="479">
        <f>IF(I22=0,0,IF(L22=0,0,(L22-I22)/L22))</f>
        <v>0</v>
      </c>
      <c r="U22" s="476">
        <f>IF(I22=0,0,(I22/1100)/9)</f>
        <v>-5.287599467590904E-3</v>
      </c>
    </row>
    <row r="23" spans="1:21" ht="15" customHeight="1">
      <c r="A23" s="963"/>
      <c r="B23" s="489" t="s">
        <v>41</v>
      </c>
      <c r="C23" s="53">
        <f t="shared" si="6"/>
        <v>159098.48878321657</v>
      </c>
      <c r="D23" s="54">
        <f t="shared" si="6"/>
        <v>0</v>
      </c>
      <c r="E23" s="467">
        <f t="shared" si="6"/>
        <v>0</v>
      </c>
      <c r="F23" s="53">
        <f>F16+'Budget-Réel '!I53</f>
        <v>861656.99380000005</v>
      </c>
      <c r="G23" s="54">
        <f>G16+'Budget-Réel '!I54</f>
        <v>12.760870019678151</v>
      </c>
      <c r="H23" s="467">
        <f>IF(F23=0,0,IF(G23=0,0,G23/F23))</f>
        <v>1.4809686582361899E-5</v>
      </c>
      <c r="I23" s="53">
        <f t="shared" si="7"/>
        <v>-861656.99380000005</v>
      </c>
      <c r="J23" s="468">
        <f t="shared" si="7"/>
        <v>-12.760870019678151</v>
      </c>
      <c r="K23" s="467">
        <f>IF(I23=0,0,IF(J23=0,0,J23/I23))</f>
        <v>1.4809686582361899E-5</v>
      </c>
      <c r="L23" s="53">
        <f t="shared" si="8"/>
        <v>0</v>
      </c>
      <c r="M23" s="54">
        <f t="shared" si="8"/>
        <v>0</v>
      </c>
      <c r="N23" s="476">
        <f t="shared" si="8"/>
        <v>0</v>
      </c>
      <c r="O23" s="471"/>
      <c r="P23" s="471"/>
      <c r="Q23" s="946"/>
      <c r="R23" s="947"/>
      <c r="S23" s="489" t="s">
        <v>41</v>
      </c>
      <c r="T23" s="479">
        <f>IF(I23=0,0,IF(L23=0,0,(L23-I23)/L23))</f>
        <v>0</v>
      </c>
      <c r="U23" s="476">
        <f>IF(I23=0,0,(I23/1100)/9)</f>
        <v>-87.036059979797983</v>
      </c>
    </row>
    <row r="24" spans="1:21" ht="15.75" customHeight="1" thickBot="1">
      <c r="A24" s="964"/>
      <c r="B24" s="460" t="s">
        <v>3</v>
      </c>
      <c r="C24" s="465">
        <f>C10</f>
        <v>159214.63366718215</v>
      </c>
      <c r="D24" s="466">
        <f>D10</f>
        <v>1774115.5744644878</v>
      </c>
      <c r="E24" s="473">
        <f>E10</f>
        <v>11.14291779343003</v>
      </c>
      <c r="F24" s="465">
        <f>SUM(F20:F23)</f>
        <v>862778.85870987363</v>
      </c>
      <c r="G24" s="466">
        <f>SUM(G20:G23)</f>
        <v>8169437.9180712998</v>
      </c>
      <c r="H24" s="473">
        <f>IF(F24=0,0,IF(G24=0,0,G24/F24))</f>
        <v>9.4687506950357871</v>
      </c>
      <c r="I24" s="465">
        <f>SUM(I20:I23)</f>
        <v>-862778.85870987363</v>
      </c>
      <c r="J24" s="466">
        <f>SUM(J20:J23)</f>
        <v>-8169437.9180712998</v>
      </c>
      <c r="K24" s="473">
        <f>IF(I24=0,0,IF(J24=0,0,J24/I24))</f>
        <v>9.4687506950357871</v>
      </c>
      <c r="L24" s="465">
        <f t="shared" si="8"/>
        <v>0</v>
      </c>
      <c r="M24" s="466">
        <f t="shared" si="8"/>
        <v>0</v>
      </c>
      <c r="N24" s="477">
        <f t="shared" si="8"/>
        <v>0</v>
      </c>
      <c r="O24" s="471"/>
      <c r="P24" s="471"/>
      <c r="Q24" s="948"/>
      <c r="R24" s="949"/>
      <c r="S24" s="460" t="s">
        <v>3</v>
      </c>
      <c r="T24" s="480">
        <f>IF(I24=0,0,IF(L24=0,0,(L24-I24)/L24))</f>
        <v>0</v>
      </c>
      <c r="U24" s="477">
        <f>IF(I24=0,0,(I24/1100)/9)</f>
        <v>-87.149379667664007</v>
      </c>
    </row>
    <row r="25" spans="1:21" ht="15" customHeight="1">
      <c r="A25" s="962" t="s">
        <v>1991</v>
      </c>
      <c r="B25" s="958" t="s">
        <v>1918</v>
      </c>
      <c r="C25" s="956" t="s">
        <v>26</v>
      </c>
      <c r="D25" s="956"/>
      <c r="E25" s="956"/>
      <c r="F25" s="956" t="s">
        <v>2004</v>
      </c>
      <c r="G25" s="956"/>
      <c r="H25" s="956"/>
      <c r="I25" s="956" t="s">
        <v>81</v>
      </c>
      <c r="J25" s="956"/>
      <c r="K25" s="956"/>
      <c r="L25" s="956" t="s">
        <v>82</v>
      </c>
      <c r="M25" s="956"/>
      <c r="N25" s="957"/>
      <c r="O25" s="472"/>
      <c r="P25" s="472"/>
      <c r="Q25" s="950" t="s">
        <v>1991</v>
      </c>
      <c r="R25" s="951"/>
      <c r="S25" s="958" t="s">
        <v>1918</v>
      </c>
      <c r="T25" s="965" t="s">
        <v>2035</v>
      </c>
      <c r="U25" s="960" t="s">
        <v>2013</v>
      </c>
    </row>
    <row r="26" spans="1:21" ht="15" customHeight="1">
      <c r="A26" s="963"/>
      <c r="B26" s="959"/>
      <c r="C26" s="59" t="s">
        <v>1996</v>
      </c>
      <c r="D26" s="59" t="s">
        <v>1997</v>
      </c>
      <c r="E26" s="59" t="s">
        <v>83</v>
      </c>
      <c r="F26" s="59" t="s">
        <v>1996</v>
      </c>
      <c r="G26" s="59" t="s">
        <v>1997</v>
      </c>
      <c r="H26" s="59" t="s">
        <v>83</v>
      </c>
      <c r="I26" s="59" t="s">
        <v>1996</v>
      </c>
      <c r="J26" s="59" t="s">
        <v>1997</v>
      </c>
      <c r="K26" s="59" t="s">
        <v>83</v>
      </c>
      <c r="L26" s="59" t="s">
        <v>1996</v>
      </c>
      <c r="M26" s="59" t="s">
        <v>1997</v>
      </c>
      <c r="N26" s="475" t="s">
        <v>83</v>
      </c>
      <c r="O26" s="469"/>
      <c r="P26" s="469"/>
      <c r="Q26" s="946"/>
      <c r="R26" s="947"/>
      <c r="S26" s="959"/>
      <c r="T26" s="966"/>
      <c r="U26" s="961"/>
    </row>
    <row r="27" spans="1:21" ht="15" customHeight="1">
      <c r="A27" s="963"/>
      <c r="B27" s="60" t="s">
        <v>21</v>
      </c>
      <c r="C27" s="461">
        <f t="shared" ref="C27:E31" si="9">C6</f>
        <v>96.476551969603378</v>
      </c>
      <c r="D27" s="462">
        <f t="shared" si="9"/>
        <v>1768701.1819816921</v>
      </c>
      <c r="E27" s="463">
        <f t="shared" si="9"/>
        <v>18332.96428896995</v>
      </c>
      <c r="F27" s="461">
        <f>F20+'Budget-Réel '!K40</f>
        <v>895.90595028251369</v>
      </c>
      <c r="G27" s="462">
        <f>G20+'Budget-Réel '!K43</f>
        <v>4156734.1572012799</v>
      </c>
      <c r="H27" s="463">
        <f>IF(F27=0,0,IF(G27=0,0,G27/F27))</f>
        <v>4639.6992406295567</v>
      </c>
      <c r="I27" s="461">
        <f t="shared" ref="I27:J30" si="10">L27-F27</f>
        <v>-895.90595028251369</v>
      </c>
      <c r="J27" s="462">
        <f t="shared" si="10"/>
        <v>-4156734.1572012799</v>
      </c>
      <c r="K27" s="463">
        <f>IF(I27=0,0,IF(J27=0,0,J27/I27))</f>
        <v>4639.6992406295567</v>
      </c>
      <c r="L27" s="461">
        <f t="shared" ref="L27:N31" si="11">L6</f>
        <v>0</v>
      </c>
      <c r="M27" s="462">
        <f t="shared" si="11"/>
        <v>0</v>
      </c>
      <c r="N27" s="464">
        <f t="shared" si="11"/>
        <v>0</v>
      </c>
      <c r="O27" s="470"/>
      <c r="P27" s="470"/>
      <c r="Q27" s="946"/>
      <c r="R27" s="947"/>
      <c r="S27" s="60" t="s">
        <v>21</v>
      </c>
      <c r="T27" s="478">
        <f>IF(I27=0,0,IF(L27=0,0,(L27-I27)/L27))</f>
        <v>0</v>
      </c>
      <c r="U27" s="464">
        <f>IF(I27=0,0,(I27/1100)/8)</f>
        <v>-0.10180749435028565</v>
      </c>
    </row>
    <row r="28" spans="1:21" ht="15" customHeight="1">
      <c r="A28" s="963"/>
      <c r="B28" s="61" t="s">
        <v>28</v>
      </c>
      <c r="C28" s="53">
        <f t="shared" si="9"/>
        <v>19.668331995977251</v>
      </c>
      <c r="D28" s="54">
        <f t="shared" si="9"/>
        <v>5414.3924827956707</v>
      </c>
      <c r="E28" s="467">
        <f t="shared" si="9"/>
        <v>275.28478184642563</v>
      </c>
      <c r="F28" s="53">
        <f>F21+'Budget-Réel '!K26</f>
        <v>173.61172486194522</v>
      </c>
      <c r="G28" s="54">
        <f>G21+'Budget-Réel '!K30</f>
        <v>0</v>
      </c>
      <c r="H28" s="467">
        <f>IF(F28=0,0,IF(G28=0,0,G28/F28))</f>
        <v>0</v>
      </c>
      <c r="I28" s="53">
        <f t="shared" si="10"/>
        <v>-173.61172486194522</v>
      </c>
      <c r="J28" s="468">
        <f t="shared" si="10"/>
        <v>0</v>
      </c>
      <c r="K28" s="467">
        <f>IF(I28=0,0,IF(J28=0,0,J28/I28))</f>
        <v>0</v>
      </c>
      <c r="L28" s="53">
        <f t="shared" si="11"/>
        <v>0</v>
      </c>
      <c r="M28" s="54">
        <f t="shared" si="11"/>
        <v>0</v>
      </c>
      <c r="N28" s="476">
        <f t="shared" si="11"/>
        <v>0</v>
      </c>
      <c r="O28" s="470"/>
      <c r="P28" s="470"/>
      <c r="Q28" s="946"/>
      <c r="R28" s="947"/>
      <c r="S28" s="61" t="s">
        <v>28</v>
      </c>
      <c r="T28" s="479">
        <f>IF(I28=0,0,IF(L28=0,0,(L28-I28)/L28))</f>
        <v>0</v>
      </c>
      <c r="U28" s="476">
        <f>IF(I28=0,0,(I28/1100)/8)</f>
        <v>-1.9728605097948319E-2</v>
      </c>
    </row>
    <row r="29" spans="1:21" ht="15.75" customHeight="1">
      <c r="A29" s="963"/>
      <c r="B29" s="62" t="s">
        <v>6</v>
      </c>
      <c r="C29" s="53">
        <f t="shared" si="9"/>
        <v>0</v>
      </c>
      <c r="D29" s="54">
        <f t="shared" si="9"/>
        <v>0</v>
      </c>
      <c r="E29" s="467">
        <f t="shared" si="9"/>
        <v>0</v>
      </c>
      <c r="F29" s="53">
        <f>F22+'Budget-Réel '!K11</f>
        <v>52.347234729149953</v>
      </c>
      <c r="G29" s="54">
        <f>G22+'Budget-Réel '!K15</f>
        <v>4012691</v>
      </c>
      <c r="H29" s="467">
        <f>IF(F29=0,0,IF(G29=0,0,G29/F29))</f>
        <v>76655.262131076859</v>
      </c>
      <c r="I29" s="53">
        <f t="shared" si="10"/>
        <v>-52.347234729149953</v>
      </c>
      <c r="J29" s="468">
        <f t="shared" si="10"/>
        <v>-4012691</v>
      </c>
      <c r="K29" s="467">
        <f>IF(I29=0,0,IF(J29=0,0,J29/I29))</f>
        <v>76655.262131076859</v>
      </c>
      <c r="L29" s="53">
        <f t="shared" si="11"/>
        <v>0</v>
      </c>
      <c r="M29" s="54">
        <f t="shared" si="11"/>
        <v>0</v>
      </c>
      <c r="N29" s="476">
        <f t="shared" si="11"/>
        <v>0</v>
      </c>
      <c r="O29" s="470"/>
      <c r="P29" s="470"/>
      <c r="Q29" s="946"/>
      <c r="R29" s="947"/>
      <c r="S29" s="62" t="s">
        <v>6</v>
      </c>
      <c r="T29" s="479">
        <f>IF(I29=0,0,IF(L29=0,0,(L29-I29)/L29))</f>
        <v>0</v>
      </c>
      <c r="U29" s="476">
        <f>IF(I29=0,0,(I29/1100)/8)</f>
        <v>-5.9485494010397674E-3</v>
      </c>
    </row>
    <row r="30" spans="1:21" ht="15" customHeight="1">
      <c r="A30" s="963"/>
      <c r="B30" s="489" t="s">
        <v>41</v>
      </c>
      <c r="C30" s="53">
        <f t="shared" si="9"/>
        <v>159098.48878321657</v>
      </c>
      <c r="D30" s="54">
        <f t="shared" si="9"/>
        <v>0</v>
      </c>
      <c r="E30" s="467">
        <f t="shared" si="9"/>
        <v>0</v>
      </c>
      <c r="F30" s="53">
        <f>F23+'Budget-Réel '!K53</f>
        <v>861656.99380000005</v>
      </c>
      <c r="G30" s="54">
        <f>G23+'Budget-Réel '!K54</f>
        <v>12.760870019678151</v>
      </c>
      <c r="H30" s="467">
        <f>IF(F30=0,0,IF(G30=0,0,G30/F30))</f>
        <v>1.4809686582361899E-5</v>
      </c>
      <c r="I30" s="53">
        <f t="shared" si="10"/>
        <v>-861656.99380000005</v>
      </c>
      <c r="J30" s="468">
        <f t="shared" si="10"/>
        <v>-12.760870019678151</v>
      </c>
      <c r="K30" s="467">
        <f>IF(I30=0,0,IF(J30=0,0,J30/I30))</f>
        <v>1.4809686582361899E-5</v>
      </c>
      <c r="L30" s="53">
        <f t="shared" si="11"/>
        <v>0</v>
      </c>
      <c r="M30" s="54">
        <f t="shared" si="11"/>
        <v>0</v>
      </c>
      <c r="N30" s="476">
        <f t="shared" si="11"/>
        <v>0</v>
      </c>
      <c r="O30" s="470"/>
      <c r="P30" s="470"/>
      <c r="Q30" s="946"/>
      <c r="R30" s="947"/>
      <c r="S30" s="489" t="s">
        <v>41</v>
      </c>
      <c r="T30" s="479">
        <f>IF(I30=0,0,IF(L30=0,0,(L30-I30)/L30))</f>
        <v>0</v>
      </c>
      <c r="U30" s="476">
        <f>IF(I30=0,0,(I30/1100)/8)</f>
        <v>-97.915567477272731</v>
      </c>
    </row>
    <row r="31" spans="1:21" ht="15" customHeight="1" thickBot="1">
      <c r="A31" s="964"/>
      <c r="B31" s="460" t="s">
        <v>3</v>
      </c>
      <c r="C31" s="465">
        <f t="shared" si="9"/>
        <v>159214.63366718215</v>
      </c>
      <c r="D31" s="466">
        <f t="shared" si="9"/>
        <v>1774115.5744644878</v>
      </c>
      <c r="E31" s="473">
        <f t="shared" si="9"/>
        <v>11.14291779343003</v>
      </c>
      <c r="F31" s="465">
        <f>SUM(F27:F30)</f>
        <v>862778.85870987363</v>
      </c>
      <c r="G31" s="466">
        <f>SUM(G27:G30)</f>
        <v>8169437.9180712998</v>
      </c>
      <c r="H31" s="473">
        <f>IF(F31=0,0,IF(G31=0,0,G31/F31))</f>
        <v>9.4687506950357871</v>
      </c>
      <c r="I31" s="465">
        <f>SUM(I27:I30)</f>
        <v>-862778.85870987363</v>
      </c>
      <c r="J31" s="466">
        <f>SUM(J27:J30)</f>
        <v>-8169437.9180712998</v>
      </c>
      <c r="K31" s="473">
        <f>IF(I31=0,0,IF(J31=0,0,J31/I31))</f>
        <v>9.4687506950357871</v>
      </c>
      <c r="L31" s="465">
        <f t="shared" si="11"/>
        <v>0</v>
      </c>
      <c r="M31" s="466">
        <f t="shared" si="11"/>
        <v>0</v>
      </c>
      <c r="N31" s="477">
        <f t="shared" si="11"/>
        <v>0</v>
      </c>
      <c r="O31" s="471"/>
      <c r="P31" s="471"/>
      <c r="Q31" s="948"/>
      <c r="R31" s="949"/>
      <c r="S31" s="460" t="s">
        <v>3</v>
      </c>
      <c r="T31" s="480">
        <f>IF(I31=0,0,IF(L31=0,0,(L31-I31)/L31))</f>
        <v>0</v>
      </c>
      <c r="U31" s="477">
        <f>IF(I31=0,0,(I31/1100)/8)</f>
        <v>-98.043052126122006</v>
      </c>
    </row>
    <row r="32" spans="1:21" ht="15" customHeight="1">
      <c r="A32" s="962" t="s">
        <v>1992</v>
      </c>
      <c r="B32" s="958" t="s">
        <v>1918</v>
      </c>
      <c r="C32" s="956" t="s">
        <v>26</v>
      </c>
      <c r="D32" s="956"/>
      <c r="E32" s="956"/>
      <c r="F32" s="956" t="s">
        <v>2005</v>
      </c>
      <c r="G32" s="956"/>
      <c r="H32" s="956"/>
      <c r="I32" s="956" t="s">
        <v>81</v>
      </c>
      <c r="J32" s="956"/>
      <c r="K32" s="956"/>
      <c r="L32" s="956" t="s">
        <v>82</v>
      </c>
      <c r="M32" s="956"/>
      <c r="N32" s="957"/>
      <c r="O32" s="472"/>
      <c r="P32" s="472"/>
      <c r="Q32" s="950" t="s">
        <v>1992</v>
      </c>
      <c r="R32" s="951"/>
      <c r="S32" s="958" t="s">
        <v>1918</v>
      </c>
      <c r="T32" s="965" t="s">
        <v>2035</v>
      </c>
      <c r="U32" s="960" t="s">
        <v>2013</v>
      </c>
    </row>
    <row r="33" spans="1:21" ht="15" customHeight="1">
      <c r="A33" s="963"/>
      <c r="B33" s="959"/>
      <c r="C33" s="59" t="s">
        <v>1996</v>
      </c>
      <c r="D33" s="59" t="s">
        <v>1997</v>
      </c>
      <c r="E33" s="59" t="s">
        <v>83</v>
      </c>
      <c r="F33" s="59" t="s">
        <v>1996</v>
      </c>
      <c r="G33" s="59" t="s">
        <v>1997</v>
      </c>
      <c r="H33" s="59" t="s">
        <v>83</v>
      </c>
      <c r="I33" s="59" t="s">
        <v>1996</v>
      </c>
      <c r="J33" s="59" t="s">
        <v>1997</v>
      </c>
      <c r="K33" s="59" t="s">
        <v>83</v>
      </c>
      <c r="L33" s="59" t="s">
        <v>84</v>
      </c>
      <c r="M33" s="59" t="s">
        <v>1997</v>
      </c>
      <c r="N33" s="475" t="s">
        <v>83</v>
      </c>
      <c r="O33" s="469"/>
      <c r="P33" s="469"/>
      <c r="Q33" s="946"/>
      <c r="R33" s="947"/>
      <c r="S33" s="959"/>
      <c r="T33" s="966"/>
      <c r="U33" s="961"/>
    </row>
    <row r="34" spans="1:21" ht="15" customHeight="1">
      <c r="A34" s="963"/>
      <c r="B34" s="60" t="s">
        <v>21</v>
      </c>
      <c r="C34" s="461">
        <f t="shared" ref="C34:E38" si="12">C6</f>
        <v>96.476551969603378</v>
      </c>
      <c r="D34" s="462">
        <f t="shared" si="12"/>
        <v>1768701.1819816921</v>
      </c>
      <c r="E34" s="463">
        <f t="shared" si="12"/>
        <v>18332.96428896995</v>
      </c>
      <c r="F34" s="461">
        <f>F27+'Budget-Réel '!M40</f>
        <v>895.90595028251369</v>
      </c>
      <c r="G34" s="462">
        <f>G27+'Budget-Réel '!M43</f>
        <v>4156734.1572012799</v>
      </c>
      <c r="H34" s="463">
        <f>IF(F34=0,0,IF(G34=0,0,G34/F34))</f>
        <v>4639.6992406295567</v>
      </c>
      <c r="I34" s="461">
        <f t="shared" ref="I34:J37" si="13">L34-F34</f>
        <v>-895.90595028251369</v>
      </c>
      <c r="J34" s="462">
        <f t="shared" si="13"/>
        <v>-4156734.1572012799</v>
      </c>
      <c r="K34" s="463">
        <f>IF(I34=0,0,IF(J34=0,0,J34/I34))</f>
        <v>4639.6992406295567</v>
      </c>
      <c r="L34" s="461">
        <f t="shared" ref="L34:N38" si="14">L6</f>
        <v>0</v>
      </c>
      <c r="M34" s="462">
        <f t="shared" si="14"/>
        <v>0</v>
      </c>
      <c r="N34" s="464">
        <f t="shared" si="14"/>
        <v>0</v>
      </c>
      <c r="O34" s="470"/>
      <c r="P34" s="470"/>
      <c r="Q34" s="946"/>
      <c r="R34" s="947"/>
      <c r="S34" s="60" t="s">
        <v>21</v>
      </c>
      <c r="T34" s="478">
        <f>IF(I34=0,0,IF(L34=0,0,(L34-I34)/L34))</f>
        <v>0</v>
      </c>
      <c r="U34" s="464">
        <f>IF(I34=0,0,(I34/1100)/7)</f>
        <v>-0.11635142211461216</v>
      </c>
    </row>
    <row r="35" spans="1:21" ht="15" customHeight="1">
      <c r="A35" s="963"/>
      <c r="B35" s="61" t="s">
        <v>28</v>
      </c>
      <c r="C35" s="53">
        <f t="shared" si="12"/>
        <v>19.668331995977251</v>
      </c>
      <c r="D35" s="54">
        <f t="shared" si="12"/>
        <v>5414.3924827956707</v>
      </c>
      <c r="E35" s="467">
        <f t="shared" si="12"/>
        <v>275.28478184642563</v>
      </c>
      <c r="F35" s="53">
        <f>F28+'Budget-Réel '!M26</f>
        <v>173.61172486194522</v>
      </c>
      <c r="G35" s="54">
        <f>G28+'Budget-Réel '!M30</f>
        <v>0</v>
      </c>
      <c r="H35" s="467">
        <f>IF(F35=0,0,IF(G35=0,0,G35/F35))</f>
        <v>0</v>
      </c>
      <c r="I35" s="53">
        <f t="shared" si="13"/>
        <v>-173.61172486194522</v>
      </c>
      <c r="J35" s="468">
        <f t="shared" si="13"/>
        <v>0</v>
      </c>
      <c r="K35" s="467">
        <f>IF(I35=0,0,IF(J35=0,0,J35/I35))</f>
        <v>0</v>
      </c>
      <c r="L35" s="53">
        <f t="shared" si="14"/>
        <v>0</v>
      </c>
      <c r="M35" s="54">
        <f t="shared" si="14"/>
        <v>0</v>
      </c>
      <c r="N35" s="476">
        <f t="shared" si="14"/>
        <v>0</v>
      </c>
      <c r="O35" s="471"/>
      <c r="P35" s="471"/>
      <c r="Q35" s="946"/>
      <c r="R35" s="947"/>
      <c r="S35" s="61" t="s">
        <v>28</v>
      </c>
      <c r="T35" s="479">
        <f>IF(I35=0,0,IF(L35=0,0,(L35-I35)/L35))</f>
        <v>0</v>
      </c>
      <c r="U35" s="476">
        <f>IF(I35=0,0,(I35/1100)/7)</f>
        <v>-2.2546977254798078E-2</v>
      </c>
    </row>
    <row r="36" spans="1:21" ht="15.75" customHeight="1">
      <c r="A36" s="963"/>
      <c r="B36" s="62" t="s">
        <v>6</v>
      </c>
      <c r="C36" s="53">
        <f t="shared" si="12"/>
        <v>0</v>
      </c>
      <c r="D36" s="54">
        <f t="shared" si="12"/>
        <v>0</v>
      </c>
      <c r="E36" s="467">
        <f t="shared" si="12"/>
        <v>0</v>
      </c>
      <c r="F36" s="53">
        <f>F29+'Budget-Réel '!M11</f>
        <v>52.347234729149953</v>
      </c>
      <c r="G36" s="54">
        <f>G29+'Budget-Réel '!M15</f>
        <v>4012691</v>
      </c>
      <c r="H36" s="467">
        <f>IF(F36=0,0,IF(G36=0,0,G36/F36))</f>
        <v>76655.262131076859</v>
      </c>
      <c r="I36" s="53">
        <f t="shared" si="13"/>
        <v>-52.347234729149953</v>
      </c>
      <c r="J36" s="468">
        <f t="shared" si="13"/>
        <v>-4012691</v>
      </c>
      <c r="K36" s="467">
        <f>IF(I36=0,0,IF(J36=0,0,J36/I36))</f>
        <v>76655.262131076859</v>
      </c>
      <c r="L36" s="53">
        <f t="shared" si="14"/>
        <v>0</v>
      </c>
      <c r="M36" s="54">
        <f t="shared" si="14"/>
        <v>0</v>
      </c>
      <c r="N36" s="476">
        <f t="shared" si="14"/>
        <v>0</v>
      </c>
      <c r="O36" s="471"/>
      <c r="P36" s="471"/>
      <c r="Q36" s="946"/>
      <c r="R36" s="947"/>
      <c r="S36" s="62" t="s">
        <v>6</v>
      </c>
      <c r="T36" s="479">
        <f>IF(I36=0,0,IF(L36=0,0,(L36-I36)/L36))</f>
        <v>0</v>
      </c>
      <c r="U36" s="476">
        <f>IF(I36=0,0,(I36/1100)/7)</f>
        <v>-6.7983421726168771E-3</v>
      </c>
    </row>
    <row r="37" spans="1:21" ht="15" customHeight="1">
      <c r="A37" s="963"/>
      <c r="B37" s="489" t="s">
        <v>41</v>
      </c>
      <c r="C37" s="53">
        <f t="shared" si="12"/>
        <v>159098.48878321657</v>
      </c>
      <c r="D37" s="54">
        <f t="shared" si="12"/>
        <v>0</v>
      </c>
      <c r="E37" s="467">
        <f t="shared" si="12"/>
        <v>0</v>
      </c>
      <c r="F37" s="53">
        <f>F30+'Budget-Réel '!M53</f>
        <v>861656.99380000005</v>
      </c>
      <c r="G37" s="54">
        <f>G30+'Budget-Réel '!M54</f>
        <v>12.760870019678151</v>
      </c>
      <c r="H37" s="467">
        <f>IF(F37=0,0,IF(G37=0,0,G37/F37))</f>
        <v>1.4809686582361899E-5</v>
      </c>
      <c r="I37" s="53">
        <f t="shared" si="13"/>
        <v>-861656.99380000005</v>
      </c>
      <c r="J37" s="468">
        <f t="shared" si="13"/>
        <v>-12.760870019678151</v>
      </c>
      <c r="K37" s="467">
        <f>IF(I37=0,0,IF(J37=0,0,J37/I37))</f>
        <v>1.4809686582361899E-5</v>
      </c>
      <c r="L37" s="53">
        <f t="shared" si="14"/>
        <v>0</v>
      </c>
      <c r="M37" s="54">
        <f t="shared" si="14"/>
        <v>0</v>
      </c>
      <c r="N37" s="476">
        <f t="shared" si="14"/>
        <v>0</v>
      </c>
      <c r="O37" s="471"/>
      <c r="P37" s="471"/>
      <c r="Q37" s="946"/>
      <c r="R37" s="947"/>
      <c r="S37" s="489" t="s">
        <v>41</v>
      </c>
      <c r="T37" s="479">
        <f>IF(I37=0,0,IF(L37=0,0,(L37-I37)/L37))</f>
        <v>0</v>
      </c>
      <c r="U37" s="476">
        <f>IF(I37=0,0,(I37/1100)/7)</f>
        <v>-111.9035056883117</v>
      </c>
    </row>
    <row r="38" spans="1:21" ht="15" customHeight="1" thickBot="1">
      <c r="A38" s="964"/>
      <c r="B38" s="460" t="s">
        <v>3</v>
      </c>
      <c r="C38" s="465">
        <f t="shared" si="12"/>
        <v>159214.63366718215</v>
      </c>
      <c r="D38" s="466">
        <f t="shared" si="12"/>
        <v>1774115.5744644878</v>
      </c>
      <c r="E38" s="473">
        <f t="shared" si="12"/>
        <v>11.14291779343003</v>
      </c>
      <c r="F38" s="465">
        <f>SUM(F34:F37)</f>
        <v>862778.85870987363</v>
      </c>
      <c r="G38" s="466">
        <f>SUM(G34:G37)</f>
        <v>8169437.9180712998</v>
      </c>
      <c r="H38" s="473">
        <f>IF(F38=0,0,IF(G38=0,0,G38/F38))</f>
        <v>9.4687506950357871</v>
      </c>
      <c r="I38" s="465">
        <f>SUM(I34:I37)</f>
        <v>-862778.85870987363</v>
      </c>
      <c r="J38" s="466">
        <f>SUM(J34:J37)</f>
        <v>-8169437.9180712998</v>
      </c>
      <c r="K38" s="473">
        <f>IF(I38=0,0,IF(J38=0,0,J38/I38))</f>
        <v>9.4687506950357871</v>
      </c>
      <c r="L38" s="465">
        <f t="shared" si="14"/>
        <v>0</v>
      </c>
      <c r="M38" s="466">
        <f t="shared" si="14"/>
        <v>0</v>
      </c>
      <c r="N38" s="477">
        <f t="shared" si="14"/>
        <v>0</v>
      </c>
      <c r="O38" s="471"/>
      <c r="P38" s="471"/>
      <c r="Q38" s="948"/>
      <c r="R38" s="949"/>
      <c r="S38" s="460" t="s">
        <v>3</v>
      </c>
      <c r="T38" s="480">
        <f>IF(I38=0,0,IF(L38=0,0,(L38-I38)/L38))</f>
        <v>0</v>
      </c>
      <c r="U38" s="477">
        <f>IF(I38=0,0,(I38/1100)/7)</f>
        <v>-112.04920242985372</v>
      </c>
    </row>
    <row r="39" spans="1:21" ht="15" customHeight="1">
      <c r="A39" s="962" t="s">
        <v>93</v>
      </c>
      <c r="B39" s="958" t="s">
        <v>1918</v>
      </c>
      <c r="C39" s="956" t="s">
        <v>26</v>
      </c>
      <c r="D39" s="956"/>
      <c r="E39" s="956"/>
      <c r="F39" s="956" t="s">
        <v>2006</v>
      </c>
      <c r="G39" s="956"/>
      <c r="H39" s="956"/>
      <c r="I39" s="956" t="s">
        <v>81</v>
      </c>
      <c r="J39" s="956"/>
      <c r="K39" s="956"/>
      <c r="L39" s="956" t="s">
        <v>82</v>
      </c>
      <c r="M39" s="956"/>
      <c r="N39" s="957"/>
      <c r="O39" s="472"/>
      <c r="P39" s="472"/>
      <c r="Q39" s="950" t="s">
        <v>93</v>
      </c>
      <c r="R39" s="951"/>
      <c r="S39" s="958" t="s">
        <v>1918</v>
      </c>
      <c r="T39" s="965" t="s">
        <v>2035</v>
      </c>
      <c r="U39" s="960" t="s">
        <v>2013</v>
      </c>
    </row>
    <row r="40" spans="1:21" ht="15" customHeight="1">
      <c r="A40" s="963"/>
      <c r="B40" s="959"/>
      <c r="C40" s="59" t="s">
        <v>1996</v>
      </c>
      <c r="D40" s="59" t="s">
        <v>1997</v>
      </c>
      <c r="E40" s="59" t="s">
        <v>83</v>
      </c>
      <c r="F40" s="59" t="s">
        <v>1996</v>
      </c>
      <c r="G40" s="59" t="s">
        <v>1997</v>
      </c>
      <c r="H40" s="59" t="s">
        <v>83</v>
      </c>
      <c r="I40" s="59" t="s">
        <v>84</v>
      </c>
      <c r="J40" s="59" t="s">
        <v>1997</v>
      </c>
      <c r="K40" s="59" t="s">
        <v>83</v>
      </c>
      <c r="L40" s="59" t="s">
        <v>84</v>
      </c>
      <c r="M40" s="59" t="s">
        <v>1997</v>
      </c>
      <c r="N40" s="475" t="s">
        <v>83</v>
      </c>
      <c r="O40" s="469"/>
      <c r="P40" s="469"/>
      <c r="Q40" s="946"/>
      <c r="R40" s="947"/>
      <c r="S40" s="959"/>
      <c r="T40" s="966"/>
      <c r="U40" s="961"/>
    </row>
    <row r="41" spans="1:21" ht="15" customHeight="1">
      <c r="A41" s="963"/>
      <c r="B41" s="60" t="s">
        <v>21</v>
      </c>
      <c r="C41" s="482">
        <f t="shared" ref="C41:E45" si="15">C6</f>
        <v>96.476551969603378</v>
      </c>
      <c r="D41" s="483">
        <f t="shared" si="15"/>
        <v>1768701.1819816921</v>
      </c>
      <c r="E41" s="484">
        <f t="shared" si="15"/>
        <v>18332.96428896995</v>
      </c>
      <c r="F41" s="482">
        <f>F34+'Budget-Réel '!O40</f>
        <v>895.90595028251369</v>
      </c>
      <c r="G41" s="483">
        <f>G34+'Budget-Réel '!O43</f>
        <v>4156734.1572012799</v>
      </c>
      <c r="H41" s="484">
        <f>IF(F41=0,0,IF(G41=0,0,G41/F41))</f>
        <v>4639.6992406295567</v>
      </c>
      <c r="I41" s="482">
        <f t="shared" ref="I41:J44" si="16">L41-F41</f>
        <v>-895.90595028251369</v>
      </c>
      <c r="J41" s="483">
        <f t="shared" si="16"/>
        <v>-4156734.1572012799</v>
      </c>
      <c r="K41" s="484">
        <f>IF(I41=0,0,IF(J41=0,0,J41/I41))</f>
        <v>4639.6992406295567</v>
      </c>
      <c r="L41" s="482">
        <f t="shared" ref="L41:N45" si="17">L6</f>
        <v>0</v>
      </c>
      <c r="M41" s="483">
        <f t="shared" si="17"/>
        <v>0</v>
      </c>
      <c r="N41" s="485">
        <f t="shared" si="17"/>
        <v>0</v>
      </c>
      <c r="O41" s="470"/>
      <c r="P41" s="470"/>
      <c r="Q41" s="946"/>
      <c r="R41" s="947"/>
      <c r="S41" s="60" t="s">
        <v>21</v>
      </c>
      <c r="T41" s="478">
        <f>IF(I41=0,0,IF(L41=0,0,(L41-I41)/L41))</f>
        <v>0</v>
      </c>
      <c r="U41" s="464">
        <f>IF(I41=0,0,(I41/1100)/6)</f>
        <v>-0.13574332580038087</v>
      </c>
    </row>
    <row r="42" spans="1:21" ht="15" customHeight="1">
      <c r="A42" s="963"/>
      <c r="B42" s="61" t="s">
        <v>28</v>
      </c>
      <c r="C42" s="53">
        <f t="shared" si="15"/>
        <v>19.668331995977251</v>
      </c>
      <c r="D42" s="54">
        <f t="shared" si="15"/>
        <v>5414.3924827956707</v>
      </c>
      <c r="E42" s="467">
        <f t="shared" si="15"/>
        <v>275.28478184642563</v>
      </c>
      <c r="F42" s="53">
        <f>F35+'Budget-Réel '!O26</f>
        <v>173.61172486194522</v>
      </c>
      <c r="G42" s="54">
        <f>G35+'Budget-Réel '!O30</f>
        <v>0</v>
      </c>
      <c r="H42" s="467">
        <f>IF(F42=0,0,IF(G42=0,0,G42/F42))</f>
        <v>0</v>
      </c>
      <c r="I42" s="53">
        <f t="shared" si="16"/>
        <v>-173.61172486194522</v>
      </c>
      <c r="J42" s="468">
        <f t="shared" si="16"/>
        <v>0</v>
      </c>
      <c r="K42" s="467">
        <f>IF(I42=0,0,IF(J42=0,0,J42/I42))</f>
        <v>0</v>
      </c>
      <c r="L42" s="53">
        <f t="shared" si="17"/>
        <v>0</v>
      </c>
      <c r="M42" s="54">
        <f t="shared" si="17"/>
        <v>0</v>
      </c>
      <c r="N42" s="476">
        <f t="shared" si="17"/>
        <v>0</v>
      </c>
      <c r="O42" s="471"/>
      <c r="P42" s="471"/>
      <c r="Q42" s="946"/>
      <c r="R42" s="947"/>
      <c r="S42" s="61" t="s">
        <v>28</v>
      </c>
      <c r="T42" s="479">
        <f>IF(I42=0,0,IF(L42=0,0,(L42-I42)/L42))</f>
        <v>0</v>
      </c>
      <c r="U42" s="476">
        <f>IF(I42=0,0,(I42/1100)/6)</f>
        <v>-2.6304806797264425E-2</v>
      </c>
    </row>
    <row r="43" spans="1:21" ht="15.75" customHeight="1">
      <c r="A43" s="963"/>
      <c r="B43" s="62" t="s">
        <v>6</v>
      </c>
      <c r="C43" s="53">
        <f t="shared" si="15"/>
        <v>0</v>
      </c>
      <c r="D43" s="54">
        <f t="shared" si="15"/>
        <v>0</v>
      </c>
      <c r="E43" s="467">
        <f t="shared" si="15"/>
        <v>0</v>
      </c>
      <c r="F43" s="53">
        <f>F36+'Budget-Réel '!O11</f>
        <v>52.347234729149953</v>
      </c>
      <c r="G43" s="54">
        <f>G36+'Budget-Réel '!O15</f>
        <v>4012691</v>
      </c>
      <c r="H43" s="467">
        <f>IF(F43=0,0,IF(G43=0,0,G43/F43))</f>
        <v>76655.262131076859</v>
      </c>
      <c r="I43" s="53">
        <f t="shared" si="16"/>
        <v>-52.347234729149953</v>
      </c>
      <c r="J43" s="468">
        <f t="shared" si="16"/>
        <v>-4012691</v>
      </c>
      <c r="K43" s="467">
        <f>IF(I43=0,0,IF(J43=0,0,J43/I43))</f>
        <v>76655.262131076859</v>
      </c>
      <c r="L43" s="53">
        <f t="shared" si="17"/>
        <v>0</v>
      </c>
      <c r="M43" s="54">
        <f t="shared" si="17"/>
        <v>0</v>
      </c>
      <c r="N43" s="476">
        <f t="shared" si="17"/>
        <v>0</v>
      </c>
      <c r="O43" s="471"/>
      <c r="P43" s="471"/>
      <c r="Q43" s="946"/>
      <c r="R43" s="947"/>
      <c r="S43" s="62" t="s">
        <v>6</v>
      </c>
      <c r="T43" s="479">
        <f>IF(I43=0,0,IF(L43=0,0,(L43-I43)/L43))</f>
        <v>0</v>
      </c>
      <c r="U43" s="476">
        <f>IF(I43=0,0,(I43/1100)/6)</f>
        <v>-7.9313992013863559E-3</v>
      </c>
    </row>
    <row r="44" spans="1:21" ht="15" customHeight="1">
      <c r="A44" s="963"/>
      <c r="B44" s="489" t="s">
        <v>41</v>
      </c>
      <c r="C44" s="53">
        <f t="shared" si="15"/>
        <v>159098.48878321657</v>
      </c>
      <c r="D44" s="54">
        <f t="shared" si="15"/>
        <v>0</v>
      </c>
      <c r="E44" s="467">
        <f t="shared" si="15"/>
        <v>0</v>
      </c>
      <c r="F44" s="53">
        <f>F37+'Budget-Réel '!O53</f>
        <v>861656.99380000005</v>
      </c>
      <c r="G44" s="54">
        <f>G37+'Budget-Réel '!O54</f>
        <v>12.760870019678151</v>
      </c>
      <c r="H44" s="467">
        <f>IF(F44=0,0,IF(G44=0,0,G44/F44))</f>
        <v>1.4809686582361899E-5</v>
      </c>
      <c r="I44" s="53">
        <f t="shared" si="16"/>
        <v>-861656.99380000005</v>
      </c>
      <c r="J44" s="468">
        <f t="shared" si="16"/>
        <v>-12.760870019678151</v>
      </c>
      <c r="K44" s="467">
        <f>IF(I44=0,0,IF(J44=0,0,J44/I44))</f>
        <v>1.4809686582361899E-5</v>
      </c>
      <c r="L44" s="53">
        <f t="shared" si="17"/>
        <v>0</v>
      </c>
      <c r="M44" s="54">
        <f t="shared" si="17"/>
        <v>0</v>
      </c>
      <c r="N44" s="476">
        <f t="shared" si="17"/>
        <v>0</v>
      </c>
      <c r="O44" s="471"/>
      <c r="P44" s="471"/>
      <c r="Q44" s="946"/>
      <c r="R44" s="947"/>
      <c r="S44" s="489" t="s">
        <v>41</v>
      </c>
      <c r="T44" s="479">
        <f>IF(I44=0,0,IF(L44=0,0,(L44-I44)/L44))</f>
        <v>0</v>
      </c>
      <c r="U44" s="476">
        <f>IF(I44=0,0,(I44/1100)/6)</f>
        <v>-130.55408996969697</v>
      </c>
    </row>
    <row r="45" spans="1:21" ht="15" customHeight="1" thickBot="1">
      <c r="A45" s="964"/>
      <c r="B45" s="460" t="s">
        <v>3</v>
      </c>
      <c r="C45" s="465">
        <f t="shared" si="15"/>
        <v>159214.63366718215</v>
      </c>
      <c r="D45" s="466">
        <f t="shared" si="15"/>
        <v>1774115.5744644878</v>
      </c>
      <c r="E45" s="473">
        <f t="shared" si="15"/>
        <v>11.14291779343003</v>
      </c>
      <c r="F45" s="465">
        <f>SUM(F41:F44)</f>
        <v>862778.85870987363</v>
      </c>
      <c r="G45" s="466">
        <f>SUM(G41:G44)</f>
        <v>8169437.9180712998</v>
      </c>
      <c r="H45" s="473">
        <f>IF(F45=0,0,IF(G45=0,0,G45/F45))</f>
        <v>9.4687506950357871</v>
      </c>
      <c r="I45" s="465">
        <f>SUM(I41:I44)</f>
        <v>-862778.85870987363</v>
      </c>
      <c r="J45" s="466">
        <f>SUM(J41:J44)</f>
        <v>-8169437.9180712998</v>
      </c>
      <c r="K45" s="473">
        <f>IF(I45=0,0,IF(J45=0,0,J45/I45))</f>
        <v>9.4687506950357871</v>
      </c>
      <c r="L45" s="465">
        <f t="shared" si="17"/>
        <v>0</v>
      </c>
      <c r="M45" s="466">
        <f t="shared" si="17"/>
        <v>0</v>
      </c>
      <c r="N45" s="477">
        <f t="shared" si="17"/>
        <v>0</v>
      </c>
      <c r="O45" s="471"/>
      <c r="P45" s="471"/>
      <c r="Q45" s="948"/>
      <c r="R45" s="949"/>
      <c r="S45" s="460" t="s">
        <v>3</v>
      </c>
      <c r="T45" s="480">
        <f>IF(I45=0,0,IF(L45=0,0,(L45-I45)/L45))</f>
        <v>0</v>
      </c>
      <c r="U45" s="477">
        <f>IF(I45=0,0,(I45/1100)/6)</f>
        <v>-130.72406950149602</v>
      </c>
    </row>
    <row r="46" spans="1:21" ht="15" customHeight="1">
      <c r="A46" s="962" t="s">
        <v>94</v>
      </c>
      <c r="B46" s="958" t="s">
        <v>1918</v>
      </c>
      <c r="C46" s="956" t="s">
        <v>26</v>
      </c>
      <c r="D46" s="956"/>
      <c r="E46" s="956"/>
      <c r="F46" s="956" t="s">
        <v>2007</v>
      </c>
      <c r="G46" s="956"/>
      <c r="H46" s="956"/>
      <c r="I46" s="956" t="s">
        <v>81</v>
      </c>
      <c r="J46" s="956"/>
      <c r="K46" s="956"/>
      <c r="L46" s="956" t="s">
        <v>82</v>
      </c>
      <c r="M46" s="956"/>
      <c r="N46" s="957"/>
      <c r="O46" s="472"/>
      <c r="P46" s="472"/>
      <c r="Q46" s="950" t="s">
        <v>94</v>
      </c>
      <c r="R46" s="951"/>
      <c r="S46" s="958" t="s">
        <v>1918</v>
      </c>
      <c r="T46" s="965" t="s">
        <v>2035</v>
      </c>
      <c r="U46" s="960" t="s">
        <v>2013</v>
      </c>
    </row>
    <row r="47" spans="1:21" ht="15" customHeight="1">
      <c r="A47" s="963"/>
      <c r="B47" s="959"/>
      <c r="C47" s="59" t="s">
        <v>1996</v>
      </c>
      <c r="D47" s="59" t="s">
        <v>1997</v>
      </c>
      <c r="E47" s="59" t="s">
        <v>83</v>
      </c>
      <c r="F47" s="59" t="s">
        <v>1996</v>
      </c>
      <c r="G47" s="59" t="s">
        <v>1997</v>
      </c>
      <c r="H47" s="59" t="s">
        <v>83</v>
      </c>
      <c r="I47" s="59" t="s">
        <v>1996</v>
      </c>
      <c r="J47" s="59" t="s">
        <v>1997</v>
      </c>
      <c r="K47" s="59" t="s">
        <v>83</v>
      </c>
      <c r="L47" s="59" t="s">
        <v>1996</v>
      </c>
      <c r="M47" s="59" t="s">
        <v>1997</v>
      </c>
      <c r="N47" s="475" t="s">
        <v>83</v>
      </c>
      <c r="O47" s="469"/>
      <c r="P47" s="469"/>
      <c r="Q47" s="946"/>
      <c r="R47" s="947"/>
      <c r="S47" s="959"/>
      <c r="T47" s="966"/>
      <c r="U47" s="961"/>
    </row>
    <row r="48" spans="1:21" ht="15.75" customHeight="1">
      <c r="A48" s="963"/>
      <c r="B48" s="60" t="s">
        <v>21</v>
      </c>
      <c r="C48" s="461">
        <f t="shared" ref="C48:E52" si="18">C6</f>
        <v>96.476551969603378</v>
      </c>
      <c r="D48" s="462">
        <f t="shared" si="18"/>
        <v>1768701.1819816921</v>
      </c>
      <c r="E48" s="463">
        <f t="shared" si="18"/>
        <v>18332.96428896995</v>
      </c>
      <c r="F48" s="461">
        <f>F41+'Budget-Réel '!Q40</f>
        <v>895.90595028251369</v>
      </c>
      <c r="G48" s="462">
        <f>G41+'Budget-Réel '!Q43</f>
        <v>4156734.1572012799</v>
      </c>
      <c r="H48" s="463">
        <f>IF(F48=0,0,IF(G48=0,0,G48/F48))</f>
        <v>4639.6992406295567</v>
      </c>
      <c r="I48" s="461">
        <f t="shared" ref="I48:J51" si="19">L48-F48</f>
        <v>-895.90595028251369</v>
      </c>
      <c r="J48" s="462">
        <f t="shared" si="19"/>
        <v>-4156734.1572012799</v>
      </c>
      <c r="K48" s="463">
        <f>IF(I48=0,0,IF(J48=0,0,J48/I48))</f>
        <v>4639.6992406295567</v>
      </c>
      <c r="L48" s="461">
        <f t="shared" ref="L48:N52" si="20">L6</f>
        <v>0</v>
      </c>
      <c r="M48" s="462">
        <f t="shared" si="20"/>
        <v>0</v>
      </c>
      <c r="N48" s="464">
        <f t="shared" si="20"/>
        <v>0</v>
      </c>
      <c r="O48" s="470"/>
      <c r="P48" s="470"/>
      <c r="Q48" s="946"/>
      <c r="R48" s="947"/>
      <c r="S48" s="60" t="s">
        <v>21</v>
      </c>
      <c r="T48" s="478">
        <f>IF(I48=0,0,IF(L48=0,0,(L48-I48)/L48))</f>
        <v>0</v>
      </c>
      <c r="U48" s="464">
        <f>IF(I48=0,0,(I48/1100)/5)</f>
        <v>-0.16289199096045703</v>
      </c>
    </row>
    <row r="49" spans="1:21" ht="15" customHeight="1">
      <c r="A49" s="963"/>
      <c r="B49" s="61" t="s">
        <v>28</v>
      </c>
      <c r="C49" s="53">
        <f t="shared" si="18"/>
        <v>19.668331995977251</v>
      </c>
      <c r="D49" s="54">
        <f t="shared" si="18"/>
        <v>5414.3924827956707</v>
      </c>
      <c r="E49" s="467">
        <f t="shared" si="18"/>
        <v>275.28478184642563</v>
      </c>
      <c r="F49" s="53">
        <f>F42+'Budget-Réel '!Q26</f>
        <v>173.61172486194522</v>
      </c>
      <c r="G49" s="54">
        <f>G42+'Budget-Réel '!Q30</f>
        <v>0</v>
      </c>
      <c r="H49" s="467">
        <f>IF(F49=0,0,IF(G49=0,0,G49/F49))</f>
        <v>0</v>
      </c>
      <c r="I49" s="53">
        <f t="shared" si="19"/>
        <v>-173.61172486194522</v>
      </c>
      <c r="J49" s="468">
        <f t="shared" si="19"/>
        <v>0</v>
      </c>
      <c r="K49" s="467">
        <f>IF(I49=0,0,IF(J49=0,0,J49/I49))</f>
        <v>0</v>
      </c>
      <c r="L49" s="53">
        <f t="shared" si="20"/>
        <v>0</v>
      </c>
      <c r="M49" s="54">
        <f t="shared" si="20"/>
        <v>0</v>
      </c>
      <c r="N49" s="476">
        <f t="shared" si="20"/>
        <v>0</v>
      </c>
      <c r="O49" s="470"/>
      <c r="P49" s="470"/>
      <c r="Q49" s="946"/>
      <c r="R49" s="947"/>
      <c r="S49" s="61" t="s">
        <v>28</v>
      </c>
      <c r="T49" s="479">
        <f>IF(I49=0,0,IF(L49=0,0,(L49-I49)/L49))</f>
        <v>0</v>
      </c>
      <c r="U49" s="476">
        <f>IF(I49=0,0,(I49/1100)/5)</f>
        <v>-3.1565768156717314E-2</v>
      </c>
    </row>
    <row r="50" spans="1:21" ht="15" customHeight="1">
      <c r="A50" s="963"/>
      <c r="B50" s="62" t="s">
        <v>6</v>
      </c>
      <c r="C50" s="53">
        <f t="shared" si="18"/>
        <v>0</v>
      </c>
      <c r="D50" s="54">
        <f t="shared" si="18"/>
        <v>0</v>
      </c>
      <c r="E50" s="467">
        <f t="shared" si="18"/>
        <v>0</v>
      </c>
      <c r="F50" s="53">
        <f>F43+'Budget-Réel '!Q11</f>
        <v>52.347234729149953</v>
      </c>
      <c r="G50" s="54">
        <f>G43+'Budget-Réel '!Q15</f>
        <v>4012691</v>
      </c>
      <c r="H50" s="467">
        <f>IF(F50=0,0,IF(G50=0,0,G50/F50))</f>
        <v>76655.262131076859</v>
      </c>
      <c r="I50" s="53">
        <f t="shared" si="19"/>
        <v>-52.347234729149953</v>
      </c>
      <c r="J50" s="468">
        <f t="shared" si="19"/>
        <v>-4012691</v>
      </c>
      <c r="K50" s="467">
        <f>IF(I50=0,0,IF(J50=0,0,J50/I50))</f>
        <v>76655.262131076859</v>
      </c>
      <c r="L50" s="53">
        <f t="shared" si="20"/>
        <v>0</v>
      </c>
      <c r="M50" s="54">
        <f t="shared" si="20"/>
        <v>0</v>
      </c>
      <c r="N50" s="476">
        <f t="shared" si="20"/>
        <v>0</v>
      </c>
      <c r="O50" s="470"/>
      <c r="P50" s="470"/>
      <c r="Q50" s="946"/>
      <c r="R50" s="947"/>
      <c r="S50" s="62" t="s">
        <v>6</v>
      </c>
      <c r="T50" s="479">
        <f>IF(I50=0,0,IF(L50=0,0,(L50-I50)/L50))</f>
        <v>0</v>
      </c>
      <c r="U50" s="476">
        <f>IF(I50=0,0,(I50/1100)/5)</f>
        <v>-9.5176790416636285E-3</v>
      </c>
    </row>
    <row r="51" spans="1:21" ht="15" customHeight="1">
      <c r="A51" s="963"/>
      <c r="B51" s="489" t="s">
        <v>41</v>
      </c>
      <c r="C51" s="53">
        <f t="shared" si="18"/>
        <v>159098.48878321657</v>
      </c>
      <c r="D51" s="54">
        <f t="shared" si="18"/>
        <v>0</v>
      </c>
      <c r="E51" s="467">
        <f t="shared" si="18"/>
        <v>0</v>
      </c>
      <c r="F51" s="53">
        <f>F44+'Budget-Réel '!Q53</f>
        <v>861656.99380000005</v>
      </c>
      <c r="G51" s="54">
        <f>G44+'Budget-Réel '!Q54</f>
        <v>12.760870019678151</v>
      </c>
      <c r="H51" s="467">
        <f>IF(F51=0,0,IF(G51=0,0,G51/F51))</f>
        <v>1.4809686582361899E-5</v>
      </c>
      <c r="I51" s="53">
        <f t="shared" si="19"/>
        <v>-861656.99380000005</v>
      </c>
      <c r="J51" s="468">
        <f t="shared" si="19"/>
        <v>-12.760870019678151</v>
      </c>
      <c r="K51" s="467">
        <f>IF(I51=0,0,IF(J51=0,0,J51/I51))</f>
        <v>1.4809686582361899E-5</v>
      </c>
      <c r="L51" s="53">
        <f t="shared" si="20"/>
        <v>0</v>
      </c>
      <c r="M51" s="54">
        <f t="shared" si="20"/>
        <v>0</v>
      </c>
      <c r="N51" s="476">
        <f t="shared" si="20"/>
        <v>0</v>
      </c>
      <c r="O51" s="470"/>
      <c r="P51" s="470"/>
      <c r="Q51" s="946"/>
      <c r="R51" s="947"/>
      <c r="S51" s="489" t="s">
        <v>41</v>
      </c>
      <c r="T51" s="479">
        <f>IF(I51=0,0,IF(L51=0,0,(L51-I51)/L51))</f>
        <v>0</v>
      </c>
      <c r="U51" s="476">
        <f>IF(I51=0,0,(I51/1100)/5)</f>
        <v>-156.66490796363638</v>
      </c>
    </row>
    <row r="52" spans="1:21" ht="15" customHeight="1" thickBot="1">
      <c r="A52" s="964"/>
      <c r="B52" s="460" t="s">
        <v>3</v>
      </c>
      <c r="C52" s="465">
        <f t="shared" si="18"/>
        <v>159214.63366718215</v>
      </c>
      <c r="D52" s="466">
        <f t="shared" si="18"/>
        <v>1774115.5744644878</v>
      </c>
      <c r="E52" s="473">
        <f t="shared" si="18"/>
        <v>11.14291779343003</v>
      </c>
      <c r="F52" s="465">
        <f>SUM(F48:F51)</f>
        <v>862778.85870987363</v>
      </c>
      <c r="G52" s="466">
        <f>SUM(G48:G51)</f>
        <v>8169437.9180712998</v>
      </c>
      <c r="H52" s="473">
        <f>IF(F52=0,0,IF(G52=0,0,G52/F52))</f>
        <v>9.4687506950357871</v>
      </c>
      <c r="I52" s="465">
        <f>SUM(I48:I51)</f>
        <v>-862778.85870987363</v>
      </c>
      <c r="J52" s="466">
        <f>SUM(J48:J51)</f>
        <v>-8169437.9180712998</v>
      </c>
      <c r="K52" s="473">
        <f>IF(I52=0,0,IF(J52=0,0,J52/I52))</f>
        <v>9.4687506950357871</v>
      </c>
      <c r="L52" s="465">
        <f t="shared" si="20"/>
        <v>0</v>
      </c>
      <c r="M52" s="466">
        <f t="shared" si="20"/>
        <v>0</v>
      </c>
      <c r="N52" s="477">
        <f t="shared" si="20"/>
        <v>0</v>
      </c>
      <c r="O52" s="471"/>
      <c r="P52" s="471"/>
      <c r="Q52" s="948"/>
      <c r="R52" s="949"/>
      <c r="S52" s="460" t="s">
        <v>3</v>
      </c>
      <c r="T52" s="480">
        <f>IF(I52=0,0,IF(L52=0,0,(L52-I52)/L52))</f>
        <v>0</v>
      </c>
      <c r="U52" s="477">
        <f>IF(I52=0,0,(I52/1100)/5)</f>
        <v>-156.86888340179522</v>
      </c>
    </row>
    <row r="53" spans="1:21" ht="15" customHeight="1">
      <c r="A53" s="962" t="s">
        <v>2002</v>
      </c>
      <c r="B53" s="958" t="s">
        <v>1918</v>
      </c>
      <c r="C53" s="956" t="s">
        <v>26</v>
      </c>
      <c r="D53" s="956"/>
      <c r="E53" s="956"/>
      <c r="F53" s="956" t="s">
        <v>2008</v>
      </c>
      <c r="G53" s="956"/>
      <c r="H53" s="956"/>
      <c r="I53" s="956" t="s">
        <v>81</v>
      </c>
      <c r="J53" s="956"/>
      <c r="K53" s="956"/>
      <c r="L53" s="956" t="s">
        <v>82</v>
      </c>
      <c r="M53" s="956"/>
      <c r="N53" s="957"/>
      <c r="O53" s="472"/>
      <c r="P53" s="472"/>
      <c r="Q53" s="950" t="s">
        <v>2002</v>
      </c>
      <c r="R53" s="951"/>
      <c r="S53" s="958" t="s">
        <v>1918</v>
      </c>
      <c r="T53" s="965" t="s">
        <v>2035</v>
      </c>
      <c r="U53" s="960" t="s">
        <v>2013</v>
      </c>
    </row>
    <row r="54" spans="1:21" ht="15" customHeight="1">
      <c r="A54" s="963"/>
      <c r="B54" s="959"/>
      <c r="C54" s="59" t="s">
        <v>1996</v>
      </c>
      <c r="D54" s="59" t="s">
        <v>1997</v>
      </c>
      <c r="E54" s="59" t="s">
        <v>83</v>
      </c>
      <c r="F54" s="59" t="s">
        <v>1996</v>
      </c>
      <c r="G54" s="59" t="s">
        <v>1997</v>
      </c>
      <c r="H54" s="59" t="s">
        <v>83</v>
      </c>
      <c r="I54" s="59" t="s">
        <v>1996</v>
      </c>
      <c r="J54" s="59" t="s">
        <v>1997</v>
      </c>
      <c r="K54" s="59" t="s">
        <v>83</v>
      </c>
      <c r="L54" s="59" t="s">
        <v>84</v>
      </c>
      <c r="M54" s="59" t="s">
        <v>1997</v>
      </c>
      <c r="N54" s="475" t="s">
        <v>83</v>
      </c>
      <c r="O54" s="469"/>
      <c r="P54" s="469"/>
      <c r="Q54" s="946"/>
      <c r="R54" s="947"/>
      <c r="S54" s="959"/>
      <c r="T54" s="966"/>
      <c r="U54" s="961"/>
    </row>
    <row r="55" spans="1:21" ht="15.75" customHeight="1">
      <c r="A55" s="963"/>
      <c r="B55" s="60" t="s">
        <v>21</v>
      </c>
      <c r="C55" s="461">
        <f t="shared" ref="C55:E59" si="21">C6</f>
        <v>96.476551969603378</v>
      </c>
      <c r="D55" s="462">
        <f t="shared" si="21"/>
        <v>1768701.1819816921</v>
      </c>
      <c r="E55" s="463">
        <f t="shared" si="21"/>
        <v>18332.96428896995</v>
      </c>
      <c r="F55" s="461">
        <f>F48+'Budget-Réel '!S40</f>
        <v>895.90595028251369</v>
      </c>
      <c r="G55" s="462">
        <f>G48+'Budget-Réel '!S43</f>
        <v>4156734.1572012799</v>
      </c>
      <c r="H55" s="463">
        <f>IF(F55=0,0,IF(G55=0,0,G55/F55))</f>
        <v>4639.6992406295567</v>
      </c>
      <c r="I55" s="461">
        <f t="shared" ref="I55:J58" si="22">L55-F55</f>
        <v>-895.90595028251369</v>
      </c>
      <c r="J55" s="462">
        <f t="shared" si="22"/>
        <v>-4156734.1572012799</v>
      </c>
      <c r="K55" s="463">
        <f>IF(I55=0,0,IF(J55=0,0,J55/I55))</f>
        <v>4639.6992406295567</v>
      </c>
      <c r="L55" s="461">
        <f t="shared" ref="L55:N57" si="23">L6</f>
        <v>0</v>
      </c>
      <c r="M55" s="462">
        <f t="shared" si="23"/>
        <v>0</v>
      </c>
      <c r="N55" s="464">
        <f t="shared" si="23"/>
        <v>0</v>
      </c>
      <c r="O55" s="470"/>
      <c r="P55" s="470"/>
      <c r="Q55" s="946"/>
      <c r="R55" s="947"/>
      <c r="S55" s="60" t="s">
        <v>21</v>
      </c>
      <c r="T55" s="478">
        <f>IF(I55=0,0,IF(L55=0,0,(L55-I55)/L55))</f>
        <v>0</v>
      </c>
      <c r="U55" s="464">
        <f>IF(I55=0,0,(I55/1100)/4)</f>
        <v>-0.20361498870057129</v>
      </c>
    </row>
    <row r="56" spans="1:21" ht="15" customHeight="1">
      <c r="A56" s="963"/>
      <c r="B56" s="61" t="s">
        <v>28</v>
      </c>
      <c r="C56" s="53">
        <f t="shared" si="21"/>
        <v>19.668331995977251</v>
      </c>
      <c r="D56" s="54">
        <f t="shared" si="21"/>
        <v>5414.3924827956707</v>
      </c>
      <c r="E56" s="467">
        <f t="shared" si="21"/>
        <v>275.28478184642563</v>
      </c>
      <c r="F56" s="53">
        <f>F49+'Budget-Réel '!S26</f>
        <v>173.61172486194522</v>
      </c>
      <c r="G56" s="54">
        <f>G49+'Budget-Réel '!S30</f>
        <v>0</v>
      </c>
      <c r="H56" s="467">
        <f>IF(F56=0,0,IF(G56=0,0,G56/F56))</f>
        <v>0</v>
      </c>
      <c r="I56" s="53">
        <f t="shared" si="22"/>
        <v>-173.61172486194522</v>
      </c>
      <c r="J56" s="468">
        <f t="shared" si="22"/>
        <v>0</v>
      </c>
      <c r="K56" s="467">
        <f>IF(I56=0,0,IF(J56=0,0,J56/I56))</f>
        <v>0</v>
      </c>
      <c r="L56" s="53">
        <f t="shared" si="23"/>
        <v>0</v>
      </c>
      <c r="M56" s="54">
        <f t="shared" si="23"/>
        <v>0</v>
      </c>
      <c r="N56" s="476">
        <f t="shared" si="23"/>
        <v>0</v>
      </c>
      <c r="O56" s="471"/>
      <c r="P56" s="471"/>
      <c r="Q56" s="946"/>
      <c r="R56" s="947"/>
      <c r="S56" s="61" t="s">
        <v>28</v>
      </c>
      <c r="T56" s="479">
        <f>IF(I56=0,0,IF(L56=0,0,(L56-I56)/L56))</f>
        <v>0</v>
      </c>
      <c r="U56" s="476">
        <f>IF(I56=0,0,(I56/1100)/4)</f>
        <v>-3.9457210195896639E-2</v>
      </c>
    </row>
    <row r="57" spans="1:21" ht="15" customHeight="1">
      <c r="A57" s="963"/>
      <c r="B57" s="62" t="s">
        <v>6</v>
      </c>
      <c r="C57" s="53">
        <f t="shared" si="21"/>
        <v>0</v>
      </c>
      <c r="D57" s="54">
        <f t="shared" si="21"/>
        <v>0</v>
      </c>
      <c r="E57" s="467">
        <f t="shared" si="21"/>
        <v>0</v>
      </c>
      <c r="F57" s="53">
        <f>F50+'Budget-Réel '!S11</f>
        <v>52.347234729149953</v>
      </c>
      <c r="G57" s="54">
        <f>G50+'Budget-Réel '!S15</f>
        <v>4012691</v>
      </c>
      <c r="H57" s="467">
        <f>IF(F57=0,0,IF(G57=0,0,G57/F57))</f>
        <v>76655.262131076859</v>
      </c>
      <c r="I57" s="53">
        <f t="shared" si="22"/>
        <v>-52.347234729149953</v>
      </c>
      <c r="J57" s="468">
        <f t="shared" si="22"/>
        <v>-4012691</v>
      </c>
      <c r="K57" s="467">
        <f>IF(I57=0,0,IF(J57=0,0,J57/I57))</f>
        <v>76655.262131076859</v>
      </c>
      <c r="L57" s="53">
        <f t="shared" si="23"/>
        <v>0</v>
      </c>
      <c r="M57" s="54">
        <f t="shared" si="23"/>
        <v>0</v>
      </c>
      <c r="N57" s="476">
        <f t="shared" si="23"/>
        <v>0</v>
      </c>
      <c r="O57" s="471"/>
      <c r="P57" s="471"/>
      <c r="Q57" s="946"/>
      <c r="R57" s="947"/>
      <c r="S57" s="62" t="s">
        <v>6</v>
      </c>
      <c r="T57" s="479">
        <f>IF(I57=0,0,IF(L57=0,0,(L57-I57)/L57))</f>
        <v>0</v>
      </c>
      <c r="U57" s="476">
        <f>IF(I57=0,0,(I57/1100)/4)</f>
        <v>-1.1897098802079535E-2</v>
      </c>
    </row>
    <row r="58" spans="1:21" ht="15" customHeight="1">
      <c r="A58" s="963"/>
      <c r="B58" s="489" t="s">
        <v>41</v>
      </c>
      <c r="C58" s="53">
        <f t="shared" si="21"/>
        <v>159098.48878321657</v>
      </c>
      <c r="D58" s="54">
        <f t="shared" si="21"/>
        <v>0</v>
      </c>
      <c r="E58" s="467">
        <f t="shared" si="21"/>
        <v>0</v>
      </c>
      <c r="F58" s="53">
        <f>F51+'Budget-Réel '!S53</f>
        <v>861656.99380000005</v>
      </c>
      <c r="G58" s="54">
        <f>G51+'Budget-Réel '!S54</f>
        <v>12.760870019678151</v>
      </c>
      <c r="H58" s="467">
        <f>IF(F58=0,0,IF(G58=0,0,G58/F58))</f>
        <v>1.4809686582361899E-5</v>
      </c>
      <c r="I58" s="53">
        <f t="shared" si="22"/>
        <v>-861656.99380000005</v>
      </c>
      <c r="J58" s="468">
        <f t="shared" si="22"/>
        <v>-12.760870019678151</v>
      </c>
      <c r="K58" s="467">
        <f>IF(I58=0,0,IF(J58=0,0,J58/I58))</f>
        <v>1.4809686582361899E-5</v>
      </c>
      <c r="L58" s="53">
        <f t="shared" ref="L58:N59" si="24">L9</f>
        <v>0</v>
      </c>
      <c r="M58" s="54">
        <f t="shared" si="24"/>
        <v>0</v>
      </c>
      <c r="N58" s="476">
        <f t="shared" si="24"/>
        <v>0</v>
      </c>
      <c r="O58" s="471"/>
      <c r="P58" s="471"/>
      <c r="Q58" s="946"/>
      <c r="R58" s="947"/>
      <c r="S58" s="489" t="s">
        <v>41</v>
      </c>
      <c r="T58" s="479">
        <f>IF(I58=0,0,IF(L58=0,0,(L58-I58)/L58))</f>
        <v>0</v>
      </c>
      <c r="U58" s="476">
        <f>IF(I58=0,0,(I58/1100)/4)</f>
        <v>-195.83113495454546</v>
      </c>
    </row>
    <row r="59" spans="1:21" ht="15" customHeight="1" thickBot="1">
      <c r="A59" s="964"/>
      <c r="B59" s="460" t="s">
        <v>3</v>
      </c>
      <c r="C59" s="465">
        <f t="shared" si="21"/>
        <v>159214.63366718215</v>
      </c>
      <c r="D59" s="466">
        <f t="shared" si="21"/>
        <v>1774115.5744644878</v>
      </c>
      <c r="E59" s="473">
        <f t="shared" si="21"/>
        <v>11.14291779343003</v>
      </c>
      <c r="F59" s="465">
        <f>SUM(F55:F58)</f>
        <v>862778.85870987363</v>
      </c>
      <c r="G59" s="466">
        <f>SUM(G55:G58)</f>
        <v>8169437.9180712998</v>
      </c>
      <c r="H59" s="473">
        <f>IF(F59=0,0,IF(G59=0,0,G59/F59))</f>
        <v>9.4687506950357871</v>
      </c>
      <c r="I59" s="465">
        <f>SUM(I55:I58)</f>
        <v>-862778.85870987363</v>
      </c>
      <c r="J59" s="466">
        <f>SUM(J55:J58)</f>
        <v>-8169437.9180712998</v>
      </c>
      <c r="K59" s="473">
        <f>IF(I59=0,0,IF(J59=0,0,J59/I59))</f>
        <v>9.4687506950357871</v>
      </c>
      <c r="L59" s="465">
        <f>L10</f>
        <v>0</v>
      </c>
      <c r="M59" s="466">
        <f t="shared" si="24"/>
        <v>0</v>
      </c>
      <c r="N59" s="477">
        <f t="shared" si="24"/>
        <v>0</v>
      </c>
      <c r="O59" s="471"/>
      <c r="P59" s="471"/>
      <c r="Q59" s="948"/>
      <c r="R59" s="949"/>
      <c r="S59" s="460" t="s">
        <v>3</v>
      </c>
      <c r="T59" s="480">
        <f>IF(I59=0,0,IF(L59=0,0,(L59-I59)/L59))</f>
        <v>0</v>
      </c>
      <c r="U59" s="477">
        <f>IF(I59=0,0,(I59/1100)/4)</f>
        <v>-196.08610425224401</v>
      </c>
    </row>
    <row r="60" spans="1:21" ht="15" customHeight="1">
      <c r="A60" s="962" t="s">
        <v>1993</v>
      </c>
      <c r="B60" s="958" t="s">
        <v>1918</v>
      </c>
      <c r="C60" s="956" t="s">
        <v>26</v>
      </c>
      <c r="D60" s="956"/>
      <c r="E60" s="956"/>
      <c r="F60" s="956" t="s">
        <v>2009</v>
      </c>
      <c r="G60" s="956"/>
      <c r="H60" s="956"/>
      <c r="I60" s="956" t="s">
        <v>81</v>
      </c>
      <c r="J60" s="956"/>
      <c r="K60" s="956"/>
      <c r="L60" s="956" t="s">
        <v>82</v>
      </c>
      <c r="M60" s="956"/>
      <c r="N60" s="957"/>
      <c r="O60" s="472"/>
      <c r="P60" s="472"/>
      <c r="Q60" s="950" t="s">
        <v>1993</v>
      </c>
      <c r="R60" s="951"/>
      <c r="S60" s="958" t="s">
        <v>1918</v>
      </c>
      <c r="T60" s="965" t="s">
        <v>2035</v>
      </c>
      <c r="U60" s="960" t="s">
        <v>2013</v>
      </c>
    </row>
    <row r="61" spans="1:21" ht="15" customHeight="1">
      <c r="A61" s="963"/>
      <c r="B61" s="959"/>
      <c r="C61" s="59" t="s">
        <v>1996</v>
      </c>
      <c r="D61" s="59" t="s">
        <v>1997</v>
      </c>
      <c r="E61" s="59" t="s">
        <v>83</v>
      </c>
      <c r="F61" s="59" t="s">
        <v>1996</v>
      </c>
      <c r="G61" s="59" t="s">
        <v>1997</v>
      </c>
      <c r="H61" s="59" t="s">
        <v>83</v>
      </c>
      <c r="I61" s="59" t="s">
        <v>84</v>
      </c>
      <c r="J61" s="59" t="s">
        <v>1997</v>
      </c>
      <c r="K61" s="59" t="s">
        <v>83</v>
      </c>
      <c r="L61" s="59" t="s">
        <v>84</v>
      </c>
      <c r="M61" s="59" t="s">
        <v>1997</v>
      </c>
      <c r="N61" s="475" t="s">
        <v>83</v>
      </c>
      <c r="O61" s="469"/>
      <c r="P61" s="469"/>
      <c r="Q61" s="946"/>
      <c r="R61" s="947"/>
      <c r="S61" s="959"/>
      <c r="T61" s="966"/>
      <c r="U61" s="961"/>
    </row>
    <row r="62" spans="1:21" ht="15.75" customHeight="1">
      <c r="A62" s="963"/>
      <c r="B62" s="60" t="s">
        <v>21</v>
      </c>
      <c r="C62" s="461">
        <f t="shared" ref="C62:E66" si="25">C6</f>
        <v>96.476551969603378</v>
      </c>
      <c r="D62" s="462">
        <f t="shared" si="25"/>
        <v>1768701.1819816921</v>
      </c>
      <c r="E62" s="463">
        <f t="shared" si="25"/>
        <v>18332.96428896995</v>
      </c>
      <c r="F62" s="461">
        <f>F55+'Budget-Réel '!U40</f>
        <v>895.90595028251369</v>
      </c>
      <c r="G62" s="462">
        <f>G55+'Budget-Réel '!U43</f>
        <v>4156734.1572012799</v>
      </c>
      <c r="H62" s="463">
        <f>IF(F62=0,0,IF(G62=0,0,G62/F62))</f>
        <v>4639.6992406295567</v>
      </c>
      <c r="I62" s="461">
        <f t="shared" ref="I62:J65" si="26">L62-F62</f>
        <v>-895.90595028251369</v>
      </c>
      <c r="J62" s="462">
        <f t="shared" si="26"/>
        <v>-4156734.1572012799</v>
      </c>
      <c r="K62" s="463">
        <f>IF(I62=0,0,IF(J62=0,0,J62/I62))</f>
        <v>4639.6992406295567</v>
      </c>
      <c r="L62" s="461">
        <f t="shared" ref="L62:N66" si="27">L6</f>
        <v>0</v>
      </c>
      <c r="M62" s="462">
        <f t="shared" si="27"/>
        <v>0</v>
      </c>
      <c r="N62" s="464">
        <f t="shared" si="27"/>
        <v>0</v>
      </c>
      <c r="O62" s="470"/>
      <c r="P62" s="470"/>
      <c r="Q62" s="946"/>
      <c r="R62" s="947"/>
      <c r="S62" s="60" t="s">
        <v>21</v>
      </c>
      <c r="T62" s="478">
        <f>IF(I62=0,0,IF(L62=0,0,(L62-I62)/L62))</f>
        <v>0</v>
      </c>
      <c r="U62" s="464">
        <f>IF(I62=0,0,(I62/1100)/3)</f>
        <v>-0.27148665160076174</v>
      </c>
    </row>
    <row r="63" spans="1:21" ht="15" customHeight="1">
      <c r="A63" s="963"/>
      <c r="B63" s="61" t="s">
        <v>28</v>
      </c>
      <c r="C63" s="53">
        <f t="shared" si="25"/>
        <v>19.668331995977251</v>
      </c>
      <c r="D63" s="54">
        <f t="shared" si="25"/>
        <v>5414.3924827956707</v>
      </c>
      <c r="E63" s="467">
        <f t="shared" si="25"/>
        <v>275.28478184642563</v>
      </c>
      <c r="F63" s="53">
        <f>F56+'Budget-Réel '!U26</f>
        <v>173.61172486194522</v>
      </c>
      <c r="G63" s="54">
        <f>G56+'Budget-Réel '!U30</f>
        <v>0</v>
      </c>
      <c r="H63" s="467">
        <f>IF(F63=0,0,IF(G63=0,0,G63/F63))</f>
        <v>0</v>
      </c>
      <c r="I63" s="53">
        <f t="shared" si="26"/>
        <v>-173.61172486194522</v>
      </c>
      <c r="J63" s="468">
        <f t="shared" si="26"/>
        <v>0</v>
      </c>
      <c r="K63" s="467">
        <f>IF(I63=0,0,IF(J63=0,0,J63/I63))</f>
        <v>0</v>
      </c>
      <c r="L63" s="53">
        <f t="shared" si="27"/>
        <v>0</v>
      </c>
      <c r="M63" s="54">
        <f t="shared" si="27"/>
        <v>0</v>
      </c>
      <c r="N63" s="476">
        <f t="shared" si="27"/>
        <v>0</v>
      </c>
      <c r="O63" s="471"/>
      <c r="P63" s="471"/>
      <c r="Q63" s="946"/>
      <c r="R63" s="947"/>
      <c r="S63" s="61" t="s">
        <v>28</v>
      </c>
      <c r="T63" s="479">
        <f>IF(I63=0,0,IF(L63=0,0,(L63-I63)/L63))</f>
        <v>0</v>
      </c>
      <c r="U63" s="476">
        <f>IF(I63=0,0,(I63/1100)/3)</f>
        <v>-5.2609613594528849E-2</v>
      </c>
    </row>
    <row r="64" spans="1:21" ht="15" customHeight="1">
      <c r="A64" s="963"/>
      <c r="B64" s="62" t="s">
        <v>6</v>
      </c>
      <c r="C64" s="53">
        <f t="shared" si="25"/>
        <v>0</v>
      </c>
      <c r="D64" s="54">
        <f t="shared" si="25"/>
        <v>0</v>
      </c>
      <c r="E64" s="467">
        <f t="shared" si="25"/>
        <v>0</v>
      </c>
      <c r="F64" s="53">
        <f>F57+'Budget-Réel '!U11</f>
        <v>52.347234729149953</v>
      </c>
      <c r="G64" s="54">
        <f>G57+'Budget-Réel '!U15</f>
        <v>4012691</v>
      </c>
      <c r="H64" s="467">
        <f>IF(F64=0,0,IF(G64=0,0,G64/F64))</f>
        <v>76655.262131076859</v>
      </c>
      <c r="I64" s="53">
        <f t="shared" si="26"/>
        <v>-52.347234729149953</v>
      </c>
      <c r="J64" s="468">
        <f t="shared" si="26"/>
        <v>-4012691</v>
      </c>
      <c r="K64" s="467">
        <f>IF(I64=0,0,IF(J64=0,0,J64/I64))</f>
        <v>76655.262131076859</v>
      </c>
      <c r="L64" s="53">
        <f t="shared" si="27"/>
        <v>0</v>
      </c>
      <c r="M64" s="54">
        <f t="shared" si="27"/>
        <v>0</v>
      </c>
      <c r="N64" s="476">
        <f t="shared" si="27"/>
        <v>0</v>
      </c>
      <c r="O64" s="471"/>
      <c r="P64" s="471"/>
      <c r="Q64" s="946"/>
      <c r="R64" s="947"/>
      <c r="S64" s="62" t="s">
        <v>6</v>
      </c>
      <c r="T64" s="479">
        <f>IF(I64=0,0,IF(L64=0,0,(L64-I64)/L64))</f>
        <v>0</v>
      </c>
      <c r="U64" s="476">
        <f>IF(I64=0,0,(I64/1100)/3)</f>
        <v>-1.5862798402772712E-2</v>
      </c>
    </row>
    <row r="65" spans="1:21" ht="15" customHeight="1">
      <c r="A65" s="963"/>
      <c r="B65" s="489" t="s">
        <v>41</v>
      </c>
      <c r="C65" s="53">
        <f t="shared" si="25"/>
        <v>159098.48878321657</v>
      </c>
      <c r="D65" s="54">
        <f t="shared" si="25"/>
        <v>0</v>
      </c>
      <c r="E65" s="467">
        <f t="shared" si="25"/>
        <v>0</v>
      </c>
      <c r="F65" s="53">
        <f>F58+'Budget-Réel '!U53</f>
        <v>861656.99380000005</v>
      </c>
      <c r="G65" s="54">
        <f>G58+'Budget-Réel '!U54</f>
        <v>12.760870019678151</v>
      </c>
      <c r="H65" s="467">
        <f>IF(F65=0,0,IF(G65=0,0,G65/F65))</f>
        <v>1.4809686582361899E-5</v>
      </c>
      <c r="I65" s="53">
        <f t="shared" si="26"/>
        <v>-861656.99380000005</v>
      </c>
      <c r="J65" s="468">
        <f t="shared" si="26"/>
        <v>-12.760870019678151</v>
      </c>
      <c r="K65" s="467">
        <f>IF(I65=0,0,IF(J65=0,0,J65/I65))</f>
        <v>1.4809686582361899E-5</v>
      </c>
      <c r="L65" s="53">
        <f t="shared" si="27"/>
        <v>0</v>
      </c>
      <c r="M65" s="54">
        <f t="shared" si="27"/>
        <v>0</v>
      </c>
      <c r="N65" s="476">
        <f t="shared" si="27"/>
        <v>0</v>
      </c>
      <c r="O65" s="471"/>
      <c r="P65" s="471"/>
      <c r="Q65" s="946"/>
      <c r="R65" s="947"/>
      <c r="S65" s="489" t="s">
        <v>41</v>
      </c>
      <c r="T65" s="479">
        <f>IF(I65=0,0,IF(L65=0,0,(L65-I65)/L65))</f>
        <v>0</v>
      </c>
      <c r="U65" s="476">
        <f>IF(I65=0,0,(I65/1100)/3)</f>
        <v>-261.10817993939395</v>
      </c>
    </row>
    <row r="66" spans="1:21" ht="15.75" customHeight="1" thickBot="1">
      <c r="A66" s="964"/>
      <c r="B66" s="460" t="s">
        <v>3</v>
      </c>
      <c r="C66" s="465">
        <f t="shared" si="25"/>
        <v>159214.63366718215</v>
      </c>
      <c r="D66" s="466">
        <f t="shared" si="25"/>
        <v>1774115.5744644878</v>
      </c>
      <c r="E66" s="473">
        <f t="shared" si="25"/>
        <v>11.14291779343003</v>
      </c>
      <c r="F66" s="465">
        <f>SUM(F62:F65)</f>
        <v>862778.85870987363</v>
      </c>
      <c r="G66" s="466">
        <f>SUM(G62:G65)</f>
        <v>8169437.9180712998</v>
      </c>
      <c r="H66" s="473">
        <f>IF(F66=0,0,IF(G66=0,0,G66/F66))</f>
        <v>9.4687506950357871</v>
      </c>
      <c r="I66" s="465">
        <f>SUM(I62:I65)</f>
        <v>-862778.85870987363</v>
      </c>
      <c r="J66" s="466">
        <f>SUM(J62:J65)</f>
        <v>-8169437.9180712998</v>
      </c>
      <c r="K66" s="473">
        <f>IF(I66=0,0,IF(J66=0,0,J66/I66))</f>
        <v>9.4687506950357871</v>
      </c>
      <c r="L66" s="465">
        <f t="shared" si="27"/>
        <v>0</v>
      </c>
      <c r="M66" s="466">
        <f t="shared" si="27"/>
        <v>0</v>
      </c>
      <c r="N66" s="477">
        <f t="shared" si="27"/>
        <v>0</v>
      </c>
      <c r="O66" s="471"/>
      <c r="P66" s="471"/>
      <c r="Q66" s="948"/>
      <c r="R66" s="949"/>
      <c r="S66" s="460" t="s">
        <v>3</v>
      </c>
      <c r="T66" s="480">
        <f>IF(I66=0,0,IF(L66=0,0,(L66-I66)/L66))</f>
        <v>0</v>
      </c>
      <c r="U66" s="477">
        <f>IF(I66=0,0,(I66/1100)/3)</f>
        <v>-261.44813900299204</v>
      </c>
    </row>
    <row r="67" spans="1:21" ht="15" customHeight="1">
      <c r="A67" s="962" t="s">
        <v>1994</v>
      </c>
      <c r="B67" s="958" t="s">
        <v>1918</v>
      </c>
      <c r="C67" s="956" t="s">
        <v>26</v>
      </c>
      <c r="D67" s="956"/>
      <c r="E67" s="956"/>
      <c r="F67" s="956" t="s">
        <v>2010</v>
      </c>
      <c r="G67" s="956"/>
      <c r="H67" s="956"/>
      <c r="I67" s="956" t="s">
        <v>81</v>
      </c>
      <c r="J67" s="956"/>
      <c r="K67" s="956"/>
      <c r="L67" s="956" t="s">
        <v>82</v>
      </c>
      <c r="M67" s="956"/>
      <c r="N67" s="957"/>
      <c r="O67" s="472"/>
      <c r="P67" s="472"/>
      <c r="Q67" s="950" t="s">
        <v>1994</v>
      </c>
      <c r="R67" s="951"/>
      <c r="S67" s="958" t="s">
        <v>1918</v>
      </c>
      <c r="T67" s="965" t="s">
        <v>2035</v>
      </c>
      <c r="U67" s="960" t="s">
        <v>2013</v>
      </c>
    </row>
    <row r="68" spans="1:21" ht="15" customHeight="1">
      <c r="A68" s="963"/>
      <c r="B68" s="959"/>
      <c r="C68" s="59" t="s">
        <v>1996</v>
      </c>
      <c r="D68" s="59" t="s">
        <v>1997</v>
      </c>
      <c r="E68" s="59" t="s">
        <v>83</v>
      </c>
      <c r="F68" s="59" t="s">
        <v>1996</v>
      </c>
      <c r="G68" s="59" t="s">
        <v>1997</v>
      </c>
      <c r="H68" s="59" t="s">
        <v>83</v>
      </c>
      <c r="I68" s="59" t="s">
        <v>1996</v>
      </c>
      <c r="J68" s="59" t="s">
        <v>1997</v>
      </c>
      <c r="K68" s="59" t="s">
        <v>83</v>
      </c>
      <c r="L68" s="59" t="s">
        <v>1996</v>
      </c>
      <c r="M68" s="59" t="s">
        <v>1997</v>
      </c>
      <c r="N68" s="475" t="s">
        <v>83</v>
      </c>
      <c r="O68" s="469"/>
      <c r="P68" s="469"/>
      <c r="Q68" s="946"/>
      <c r="R68" s="947"/>
      <c r="S68" s="959"/>
      <c r="T68" s="966"/>
      <c r="U68" s="961"/>
    </row>
    <row r="69" spans="1:21" ht="15" customHeight="1">
      <c r="A69" s="963"/>
      <c r="B69" s="60" t="s">
        <v>21</v>
      </c>
      <c r="C69" s="461">
        <f t="shared" ref="C69:E73" si="28">C6</f>
        <v>96.476551969603378</v>
      </c>
      <c r="D69" s="462">
        <f t="shared" si="28"/>
        <v>1768701.1819816921</v>
      </c>
      <c r="E69" s="463">
        <f t="shared" si="28"/>
        <v>18332.96428896995</v>
      </c>
      <c r="F69" s="461">
        <f>F62+'Budget-Réel '!W40</f>
        <v>895.90595028251369</v>
      </c>
      <c r="G69" s="462">
        <f>G62+'Budget-Réel '!U43</f>
        <v>4156734.1572012799</v>
      </c>
      <c r="H69" s="463">
        <f>IF(F69=0,0,IF(G69=0,0,G69/F69))</f>
        <v>4639.6992406295567</v>
      </c>
      <c r="I69" s="461">
        <f t="shared" ref="I69:J72" si="29">L69-F69</f>
        <v>-895.90595028251369</v>
      </c>
      <c r="J69" s="462">
        <f t="shared" si="29"/>
        <v>-4156734.1572012799</v>
      </c>
      <c r="K69" s="463">
        <f>IF(I69=0,0,IF(J69=0,0,J69/I69))</f>
        <v>4639.6992406295567</v>
      </c>
      <c r="L69" s="461">
        <f t="shared" ref="L69:N73" si="30">L6</f>
        <v>0</v>
      </c>
      <c r="M69" s="462">
        <f t="shared" si="30"/>
        <v>0</v>
      </c>
      <c r="N69" s="464">
        <f t="shared" si="30"/>
        <v>0</v>
      </c>
      <c r="O69" s="470"/>
      <c r="P69" s="470"/>
      <c r="Q69" s="946"/>
      <c r="R69" s="947"/>
      <c r="S69" s="60" t="s">
        <v>21</v>
      </c>
      <c r="T69" s="478">
        <f>IF(I69=0,0,IF(L69=0,0,(L69-I69)/L69))</f>
        <v>0</v>
      </c>
      <c r="U69" s="464">
        <f>IF(I69=0,0,(I69/1100)/2)</f>
        <v>-0.40722997740114258</v>
      </c>
    </row>
    <row r="70" spans="1:21" ht="15" customHeight="1">
      <c r="A70" s="963"/>
      <c r="B70" s="61" t="s">
        <v>28</v>
      </c>
      <c r="C70" s="53">
        <f t="shared" si="28"/>
        <v>19.668331995977251</v>
      </c>
      <c r="D70" s="54">
        <f t="shared" si="28"/>
        <v>5414.3924827956707</v>
      </c>
      <c r="E70" s="467">
        <f t="shared" si="28"/>
        <v>275.28478184642563</v>
      </c>
      <c r="F70" s="53">
        <f>F63+'Budget-Réel '!W26</f>
        <v>173.61172486194522</v>
      </c>
      <c r="G70" s="54">
        <f>G63+'Budget-Réel '!W30</f>
        <v>0</v>
      </c>
      <c r="H70" s="467">
        <f>IF(F70=0,0,IF(G70=0,0,G70/F70))</f>
        <v>0</v>
      </c>
      <c r="I70" s="53">
        <f t="shared" si="29"/>
        <v>-173.61172486194522</v>
      </c>
      <c r="J70" s="468">
        <f t="shared" si="29"/>
        <v>0</v>
      </c>
      <c r="K70" s="467">
        <f>IF(I70=0,0,IF(J70=0,0,J70/I70))</f>
        <v>0</v>
      </c>
      <c r="L70" s="53">
        <f t="shared" si="30"/>
        <v>0</v>
      </c>
      <c r="M70" s="54">
        <f t="shared" si="30"/>
        <v>0</v>
      </c>
      <c r="N70" s="476">
        <f t="shared" si="30"/>
        <v>0</v>
      </c>
      <c r="O70" s="470"/>
      <c r="P70" s="470"/>
      <c r="Q70" s="946"/>
      <c r="R70" s="947"/>
      <c r="S70" s="61" t="s">
        <v>28</v>
      </c>
      <c r="T70" s="479">
        <f>IF(I70=0,0,IF(L70=0,0,(L70-I70)/L70))</f>
        <v>0</v>
      </c>
      <c r="U70" s="476">
        <f>IF(I70=0,0,(I70/1100)/2)</f>
        <v>-7.8914420391793277E-2</v>
      </c>
    </row>
    <row r="71" spans="1:21" ht="15" customHeight="1">
      <c r="A71" s="963"/>
      <c r="B71" s="62" t="s">
        <v>6</v>
      </c>
      <c r="C71" s="53">
        <f t="shared" si="28"/>
        <v>0</v>
      </c>
      <c r="D71" s="54">
        <f t="shared" si="28"/>
        <v>0</v>
      </c>
      <c r="E71" s="467">
        <f t="shared" si="28"/>
        <v>0</v>
      </c>
      <c r="F71" s="53">
        <f>F64+'Budget-Réel '!W11</f>
        <v>52.347234729149953</v>
      </c>
      <c r="G71" s="54">
        <f>G64+'Budget-Réel '!W15</f>
        <v>4012691</v>
      </c>
      <c r="H71" s="467">
        <f>IF(F71=0,0,IF(G71=0,0,G71/F71))</f>
        <v>76655.262131076859</v>
      </c>
      <c r="I71" s="53">
        <f t="shared" si="29"/>
        <v>-52.347234729149953</v>
      </c>
      <c r="J71" s="468">
        <f t="shared" si="29"/>
        <v>-4012691</v>
      </c>
      <c r="K71" s="467">
        <f>IF(I71=0,0,IF(J71=0,0,J71/I71))</f>
        <v>76655.262131076859</v>
      </c>
      <c r="L71" s="53">
        <f t="shared" si="30"/>
        <v>0</v>
      </c>
      <c r="M71" s="54">
        <f t="shared" si="30"/>
        <v>0</v>
      </c>
      <c r="N71" s="476">
        <f t="shared" si="30"/>
        <v>0</v>
      </c>
      <c r="O71" s="470"/>
      <c r="P71" s="470"/>
      <c r="Q71" s="946"/>
      <c r="R71" s="947"/>
      <c r="S71" s="62" t="s">
        <v>6</v>
      </c>
      <c r="T71" s="479">
        <f>IF(I71=0,0,IF(L71=0,0,(L71-I71)/L71))</f>
        <v>0</v>
      </c>
      <c r="U71" s="476">
        <f>IF(I71=0,0,(I71/1100)/2)</f>
        <v>-2.379419760415907E-2</v>
      </c>
    </row>
    <row r="72" spans="1:21" ht="15" customHeight="1">
      <c r="A72" s="963"/>
      <c r="B72" s="489" t="s">
        <v>41</v>
      </c>
      <c r="C72" s="53">
        <f t="shared" si="28"/>
        <v>159098.48878321657</v>
      </c>
      <c r="D72" s="54">
        <f t="shared" si="28"/>
        <v>0</v>
      </c>
      <c r="E72" s="467">
        <f t="shared" si="28"/>
        <v>0</v>
      </c>
      <c r="F72" s="53">
        <f>F65+'Budget-Réel '!W53</f>
        <v>861656.99380000005</v>
      </c>
      <c r="G72" s="54">
        <f>G65+'Budget-Réel '!W54</f>
        <v>12.760870019678151</v>
      </c>
      <c r="H72" s="467">
        <f>IF(F72=0,0,IF(G72=0,0,G72/F72))</f>
        <v>1.4809686582361899E-5</v>
      </c>
      <c r="I72" s="53">
        <f t="shared" si="29"/>
        <v>-861656.99380000005</v>
      </c>
      <c r="J72" s="468">
        <f t="shared" si="29"/>
        <v>-12.760870019678151</v>
      </c>
      <c r="K72" s="467">
        <f>IF(I72=0,0,IF(J72=0,0,J72/I72))</f>
        <v>1.4809686582361899E-5</v>
      </c>
      <c r="L72" s="53">
        <f t="shared" si="30"/>
        <v>0</v>
      </c>
      <c r="M72" s="54">
        <f t="shared" si="30"/>
        <v>0</v>
      </c>
      <c r="N72" s="476">
        <f t="shared" si="30"/>
        <v>0</v>
      </c>
      <c r="O72" s="470"/>
      <c r="P72" s="470"/>
      <c r="Q72" s="946"/>
      <c r="R72" s="947"/>
      <c r="S72" s="489" t="s">
        <v>41</v>
      </c>
      <c r="T72" s="479">
        <f>IF(I72=0,0,IF(L72=0,0,(L72-I72)/L72))</f>
        <v>0</v>
      </c>
      <c r="U72" s="476">
        <f>IF(I72=0,0,(I72/1100)/2)</f>
        <v>-391.66226990909092</v>
      </c>
    </row>
    <row r="73" spans="1:21" ht="15.75" customHeight="1" thickBot="1">
      <c r="A73" s="964"/>
      <c r="B73" s="460" t="s">
        <v>3</v>
      </c>
      <c r="C73" s="465">
        <f t="shared" si="28"/>
        <v>159214.63366718215</v>
      </c>
      <c r="D73" s="466">
        <f t="shared" si="28"/>
        <v>1774115.5744644878</v>
      </c>
      <c r="E73" s="473">
        <f t="shared" si="28"/>
        <v>11.14291779343003</v>
      </c>
      <c r="F73" s="465">
        <f>SUM(F69:F72)</f>
        <v>862778.85870987363</v>
      </c>
      <c r="G73" s="466">
        <f>SUM(G69:G72)</f>
        <v>8169437.9180712998</v>
      </c>
      <c r="H73" s="473">
        <f>IF(F73=0,0,IF(G73=0,0,G73/F73))</f>
        <v>9.4687506950357871</v>
      </c>
      <c r="I73" s="465">
        <f>SUM(I69:I72)</f>
        <v>-862778.85870987363</v>
      </c>
      <c r="J73" s="466">
        <f>SUM(J69:J72)</f>
        <v>-8169437.9180712998</v>
      </c>
      <c r="K73" s="473">
        <f>IF(I73=0,0,IF(J73=0,0,J73/I73))</f>
        <v>9.4687506950357871</v>
      </c>
      <c r="L73" s="465">
        <f t="shared" si="30"/>
        <v>0</v>
      </c>
      <c r="M73" s="466">
        <f t="shared" si="30"/>
        <v>0</v>
      </c>
      <c r="N73" s="477">
        <f t="shared" si="30"/>
        <v>0</v>
      </c>
      <c r="O73" s="471"/>
      <c r="P73" s="471"/>
      <c r="Q73" s="948"/>
      <c r="R73" s="949"/>
      <c r="S73" s="460" t="s">
        <v>3</v>
      </c>
      <c r="T73" s="480">
        <f>IF(I73=0,0,IF(L73=0,0,(L73-I73)/L73))</f>
        <v>0</v>
      </c>
      <c r="U73" s="477">
        <f>IF(I73=0,0,(I73/1100)/2)</f>
        <v>-392.17220850448803</v>
      </c>
    </row>
    <row r="74" spans="1:21" ht="15" customHeight="1">
      <c r="A74" s="962" t="s">
        <v>1995</v>
      </c>
      <c r="B74" s="958" t="s">
        <v>1918</v>
      </c>
      <c r="C74" s="956" t="s">
        <v>26</v>
      </c>
      <c r="D74" s="956"/>
      <c r="E74" s="956"/>
      <c r="F74" s="956" t="s">
        <v>2011</v>
      </c>
      <c r="G74" s="956"/>
      <c r="H74" s="956"/>
      <c r="I74" s="956" t="s">
        <v>81</v>
      </c>
      <c r="J74" s="956"/>
      <c r="K74" s="956"/>
      <c r="L74" s="956" t="s">
        <v>82</v>
      </c>
      <c r="M74" s="956"/>
      <c r="N74" s="957"/>
      <c r="O74" s="472"/>
      <c r="P74" s="472"/>
      <c r="Q74" s="950" t="s">
        <v>1995</v>
      </c>
      <c r="R74" s="951"/>
      <c r="S74" s="958" t="s">
        <v>1918</v>
      </c>
      <c r="T74" s="965" t="s">
        <v>2035</v>
      </c>
      <c r="U74" s="960" t="s">
        <v>2013</v>
      </c>
    </row>
    <row r="75" spans="1:21" ht="15" customHeight="1">
      <c r="A75" s="963"/>
      <c r="B75" s="959"/>
      <c r="C75" s="59" t="s">
        <v>1996</v>
      </c>
      <c r="D75" s="59" t="s">
        <v>1997</v>
      </c>
      <c r="E75" s="59" t="s">
        <v>83</v>
      </c>
      <c r="F75" s="59" t="s">
        <v>1996</v>
      </c>
      <c r="G75" s="59" t="s">
        <v>1997</v>
      </c>
      <c r="H75" s="59" t="s">
        <v>83</v>
      </c>
      <c r="I75" s="59" t="s">
        <v>1996</v>
      </c>
      <c r="J75" s="59" t="s">
        <v>1997</v>
      </c>
      <c r="K75" s="59" t="s">
        <v>83</v>
      </c>
      <c r="L75" s="59" t="s">
        <v>84</v>
      </c>
      <c r="M75" s="59" t="s">
        <v>1997</v>
      </c>
      <c r="N75" s="475" t="s">
        <v>83</v>
      </c>
      <c r="O75" s="469"/>
      <c r="P75" s="469"/>
      <c r="Q75" s="946"/>
      <c r="R75" s="947"/>
      <c r="S75" s="959"/>
      <c r="T75" s="966"/>
      <c r="U75" s="961"/>
    </row>
    <row r="76" spans="1:21" ht="15" customHeight="1">
      <c r="A76" s="963"/>
      <c r="B76" s="60" t="s">
        <v>21</v>
      </c>
      <c r="C76" s="461">
        <f t="shared" ref="C76:E80" si="31">C6</f>
        <v>96.476551969603378</v>
      </c>
      <c r="D76" s="462">
        <f t="shared" si="31"/>
        <v>1768701.1819816921</v>
      </c>
      <c r="E76" s="463">
        <f t="shared" si="31"/>
        <v>18332.96428896995</v>
      </c>
      <c r="F76" s="461">
        <f>F69+'Budget-Réel '!Y40</f>
        <v>895.90595028251369</v>
      </c>
      <c r="G76" s="462">
        <f>G69+'Budget-Réel '!Y43</f>
        <v>4156734.1572012799</v>
      </c>
      <c r="H76" s="463">
        <f>IF(F871,0,IF(G76=0,0,G76/F76))</f>
        <v>4639.6992406295567</v>
      </c>
      <c r="I76" s="461">
        <f t="shared" ref="I76:J79" si="32">L76-F76</f>
        <v>-895.90595028251369</v>
      </c>
      <c r="J76" s="462">
        <f t="shared" si="32"/>
        <v>-4156734.1572012799</v>
      </c>
      <c r="K76" s="463">
        <f>IF(I76=0,0,IF(J76=0,0,J76/I76))</f>
        <v>4639.6992406295567</v>
      </c>
      <c r="L76" s="461">
        <f t="shared" ref="L76:N80" si="33">L6</f>
        <v>0</v>
      </c>
      <c r="M76" s="462">
        <f t="shared" si="33"/>
        <v>0</v>
      </c>
      <c r="N76" s="464">
        <f t="shared" si="33"/>
        <v>0</v>
      </c>
      <c r="O76" s="470"/>
      <c r="P76" s="470"/>
      <c r="Q76" s="946"/>
      <c r="R76" s="947"/>
      <c r="S76" s="60" t="s">
        <v>21</v>
      </c>
      <c r="T76" s="478">
        <f>IF(I76=0,0,IF(L76=0,0,(L76-I76)/L76))</f>
        <v>0</v>
      </c>
      <c r="U76" s="464">
        <f>IF(I76=0,0,(I76/1100))</f>
        <v>-0.81445995480228517</v>
      </c>
    </row>
    <row r="77" spans="1:21" ht="15" customHeight="1">
      <c r="A77" s="963"/>
      <c r="B77" s="61" t="s">
        <v>28</v>
      </c>
      <c r="C77" s="53">
        <f t="shared" si="31"/>
        <v>19.668331995977251</v>
      </c>
      <c r="D77" s="54">
        <f t="shared" si="31"/>
        <v>5414.3924827956707</v>
      </c>
      <c r="E77" s="467">
        <f t="shared" si="31"/>
        <v>275.28478184642563</v>
      </c>
      <c r="F77" s="53">
        <f>F70+'Budget-Réel '!Y26</f>
        <v>173.61172486194522</v>
      </c>
      <c r="G77" s="54">
        <f>G70+'Budget-Réel '!Y30</f>
        <v>0</v>
      </c>
      <c r="H77" s="467">
        <f>IF(F872,0,IF(G77=0,0,G77/F77))</f>
        <v>0</v>
      </c>
      <c r="I77" s="53">
        <f t="shared" si="32"/>
        <v>-173.61172486194522</v>
      </c>
      <c r="J77" s="468">
        <f t="shared" si="32"/>
        <v>0</v>
      </c>
      <c r="K77" s="467">
        <f>IF(I77=0,0,IF(J77=0,0,J77/I77))</f>
        <v>0</v>
      </c>
      <c r="L77" s="53">
        <f t="shared" si="33"/>
        <v>0</v>
      </c>
      <c r="M77" s="54">
        <f t="shared" si="33"/>
        <v>0</v>
      </c>
      <c r="N77" s="476">
        <f t="shared" si="33"/>
        <v>0</v>
      </c>
      <c r="O77" s="471"/>
      <c r="P77" s="471"/>
      <c r="Q77" s="946"/>
      <c r="R77" s="947"/>
      <c r="S77" s="61" t="s">
        <v>28</v>
      </c>
      <c r="T77" s="479">
        <f>IF(I77=0,0,IF(L77=0,0,(L77-I77)/L77))</f>
        <v>0</v>
      </c>
      <c r="U77" s="476">
        <f>IF(I77=0,0,(I77/1100))</f>
        <v>-0.15782884078358655</v>
      </c>
    </row>
    <row r="78" spans="1:21" ht="15" customHeight="1">
      <c r="A78" s="963"/>
      <c r="B78" s="62" t="s">
        <v>6</v>
      </c>
      <c r="C78" s="53">
        <f t="shared" si="31"/>
        <v>0</v>
      </c>
      <c r="D78" s="54">
        <f t="shared" si="31"/>
        <v>0</v>
      </c>
      <c r="E78" s="467">
        <f t="shared" si="31"/>
        <v>0</v>
      </c>
      <c r="F78" s="53">
        <f>F71+'Budget-Réel '!Y11</f>
        <v>52.347234729149953</v>
      </c>
      <c r="G78" s="54">
        <f>G71+'Budget-Réel '!Y15</f>
        <v>4012691</v>
      </c>
      <c r="H78" s="467">
        <f>IF(F873,0,IF(G78=0,0,G78/F78))</f>
        <v>76655.262131076859</v>
      </c>
      <c r="I78" s="53">
        <f t="shared" si="32"/>
        <v>-52.347234729149953</v>
      </c>
      <c r="J78" s="468">
        <f t="shared" si="32"/>
        <v>-4012691</v>
      </c>
      <c r="K78" s="467">
        <f>IF(I78=0,0,IF(J78=0,0,J78/I78))</f>
        <v>76655.262131076859</v>
      </c>
      <c r="L78" s="53">
        <f t="shared" si="33"/>
        <v>0</v>
      </c>
      <c r="M78" s="54">
        <f t="shared" si="33"/>
        <v>0</v>
      </c>
      <c r="N78" s="476">
        <f t="shared" si="33"/>
        <v>0</v>
      </c>
      <c r="O78" s="471"/>
      <c r="P78" s="471"/>
      <c r="Q78" s="946"/>
      <c r="R78" s="947"/>
      <c r="S78" s="62" t="s">
        <v>6</v>
      </c>
      <c r="T78" s="479">
        <f>IF(I78=0,0,IF(L78=0,0,(L78-I78)/L78))</f>
        <v>0</v>
      </c>
      <c r="U78" s="476">
        <f>IF(I78=0,0,(I78/1100))</f>
        <v>-4.7588395208318139E-2</v>
      </c>
    </row>
    <row r="79" spans="1:21" ht="15" customHeight="1">
      <c r="A79" s="963"/>
      <c r="B79" s="489" t="s">
        <v>41</v>
      </c>
      <c r="C79" s="53">
        <f t="shared" si="31"/>
        <v>159098.48878321657</v>
      </c>
      <c r="D79" s="54">
        <f t="shared" si="31"/>
        <v>0</v>
      </c>
      <c r="E79" s="467">
        <f t="shared" si="31"/>
        <v>0</v>
      </c>
      <c r="F79" s="53">
        <f>F72+'Budget-Réel '!Y53</f>
        <v>861656.99380000005</v>
      </c>
      <c r="G79" s="54">
        <f>G72+'Budget-Réel '!Y54</f>
        <v>12.760870019678151</v>
      </c>
      <c r="H79" s="467">
        <f>IF(F874,0,IF(G79=0,0,G79/F79))</f>
        <v>1.4809686582361899E-5</v>
      </c>
      <c r="I79" s="53">
        <f t="shared" si="32"/>
        <v>-861656.99380000005</v>
      </c>
      <c r="J79" s="468">
        <f t="shared" si="32"/>
        <v>-12.760870019678151</v>
      </c>
      <c r="K79" s="467">
        <f>IF(I79=0,0,IF(J79=0,0,J79/I79))</f>
        <v>1.4809686582361899E-5</v>
      </c>
      <c r="L79" s="53">
        <f t="shared" si="33"/>
        <v>0</v>
      </c>
      <c r="M79" s="54">
        <f t="shared" si="33"/>
        <v>0</v>
      </c>
      <c r="N79" s="476">
        <f t="shared" si="33"/>
        <v>0</v>
      </c>
      <c r="O79" s="471"/>
      <c r="P79" s="471"/>
      <c r="Q79" s="946"/>
      <c r="R79" s="947"/>
      <c r="S79" s="489" t="s">
        <v>41</v>
      </c>
      <c r="T79" s="479">
        <f>IF(I79=0,0,IF(L79=0,0,(L79-I79)/L79))</f>
        <v>0</v>
      </c>
      <c r="U79" s="476">
        <f>IF(I79=0,0,(I79/1100))</f>
        <v>-783.32453981818185</v>
      </c>
    </row>
    <row r="80" spans="1:21" ht="15.75" customHeight="1" thickBot="1">
      <c r="A80" s="964"/>
      <c r="B80" s="460" t="s">
        <v>3</v>
      </c>
      <c r="C80" s="465">
        <f t="shared" si="31"/>
        <v>159214.63366718215</v>
      </c>
      <c r="D80" s="466">
        <f t="shared" si="31"/>
        <v>1774115.5744644878</v>
      </c>
      <c r="E80" s="473">
        <f t="shared" si="31"/>
        <v>11.14291779343003</v>
      </c>
      <c r="F80" s="465">
        <f>SUM(F76:F79)</f>
        <v>862778.85870987363</v>
      </c>
      <c r="G80" s="466">
        <f>SUM(G76:G79)</f>
        <v>8169437.9180712998</v>
      </c>
      <c r="H80" s="473">
        <f>IF(F875,0,IF(G80=0,0,G80/F80))</f>
        <v>9.4687506950357871</v>
      </c>
      <c r="I80" s="465">
        <f>SUM(I76:I79)</f>
        <v>-862778.85870987363</v>
      </c>
      <c r="J80" s="466">
        <f>SUM(J76:J79)</f>
        <v>-8169437.9180712998</v>
      </c>
      <c r="K80" s="473">
        <f>IF(I80=0,0,IF(J80=0,0,J80/I80))</f>
        <v>9.4687506950357871</v>
      </c>
      <c r="L80" s="465">
        <f t="shared" si="33"/>
        <v>0</v>
      </c>
      <c r="M80" s="466">
        <f t="shared" si="33"/>
        <v>0</v>
      </c>
      <c r="N80" s="477">
        <f t="shared" si="33"/>
        <v>0</v>
      </c>
      <c r="O80" s="471"/>
      <c r="P80" s="471"/>
      <c r="Q80" s="948"/>
      <c r="R80" s="949"/>
      <c r="S80" s="460" t="s">
        <v>3</v>
      </c>
      <c r="T80" s="480">
        <f>IF(I80=0,0,IF(L80=0,0,(L80-I80)/L80))</f>
        <v>0</v>
      </c>
      <c r="U80" s="477">
        <f>IF(I80=0,0,(I80/1100))</f>
        <v>-784.34441700897605</v>
      </c>
    </row>
    <row r="81" spans="1:21" ht="15" customHeight="1">
      <c r="A81" s="962" t="s">
        <v>2003</v>
      </c>
      <c r="B81" s="958" t="s">
        <v>1918</v>
      </c>
      <c r="C81" s="956" t="s">
        <v>26</v>
      </c>
      <c r="D81" s="956"/>
      <c r="E81" s="956"/>
      <c r="F81" s="956" t="s">
        <v>2012</v>
      </c>
      <c r="G81" s="956"/>
      <c r="H81" s="956"/>
      <c r="I81" s="956" t="s">
        <v>81</v>
      </c>
      <c r="J81" s="956"/>
      <c r="K81" s="956"/>
      <c r="L81" s="956" t="s">
        <v>82</v>
      </c>
      <c r="M81" s="956"/>
      <c r="N81" s="957"/>
      <c r="O81" s="472"/>
      <c r="P81" s="472"/>
      <c r="Q81" s="950" t="s">
        <v>2003</v>
      </c>
      <c r="R81" s="951"/>
      <c r="S81" s="958" t="s">
        <v>1918</v>
      </c>
      <c r="T81" s="965" t="s">
        <v>2035</v>
      </c>
      <c r="U81" s="960" t="s">
        <v>2013</v>
      </c>
    </row>
    <row r="82" spans="1:21" ht="15" customHeight="1">
      <c r="A82" s="963"/>
      <c r="B82" s="959"/>
      <c r="C82" s="59" t="s">
        <v>1996</v>
      </c>
      <c r="D82" s="59" t="s">
        <v>1997</v>
      </c>
      <c r="E82" s="59" t="s">
        <v>83</v>
      </c>
      <c r="F82" s="59" t="s">
        <v>1996</v>
      </c>
      <c r="G82" s="59" t="s">
        <v>1997</v>
      </c>
      <c r="H82" s="59" t="s">
        <v>83</v>
      </c>
      <c r="I82" s="59" t="s">
        <v>84</v>
      </c>
      <c r="J82" s="59" t="s">
        <v>1997</v>
      </c>
      <c r="K82" s="59" t="s">
        <v>83</v>
      </c>
      <c r="L82" s="59" t="s">
        <v>84</v>
      </c>
      <c r="M82" s="59" t="s">
        <v>1997</v>
      </c>
      <c r="N82" s="475" t="s">
        <v>83</v>
      </c>
      <c r="O82" s="469"/>
      <c r="P82" s="469"/>
      <c r="Q82" s="946"/>
      <c r="R82" s="947"/>
      <c r="S82" s="959"/>
      <c r="T82" s="966"/>
      <c r="U82" s="961"/>
    </row>
    <row r="83" spans="1:21" ht="15" customHeight="1">
      <c r="A83" s="963"/>
      <c r="B83" s="60" t="s">
        <v>21</v>
      </c>
      <c r="C83" s="461">
        <f t="shared" ref="C83:E87" si="34">C6</f>
        <v>96.476551969603378</v>
      </c>
      <c r="D83" s="462">
        <f t="shared" si="34"/>
        <v>1768701.1819816921</v>
      </c>
      <c r="E83" s="463">
        <f t="shared" si="34"/>
        <v>18332.96428896995</v>
      </c>
      <c r="F83" s="461">
        <f>F76+'Budget-Réel '!AA40</f>
        <v>895.90595028251369</v>
      </c>
      <c r="G83" s="462">
        <f>G76+'Budget-Réel '!AA43</f>
        <v>4156734.1572012799</v>
      </c>
      <c r="H83" s="463">
        <f>IF(F83=0,0,IF(G83=0,0,G83/F83))</f>
        <v>4639.6992406295567</v>
      </c>
      <c r="I83" s="461">
        <f t="shared" ref="I83:J86" si="35">L83-F83</f>
        <v>-895.90595028251369</v>
      </c>
      <c r="J83" s="462">
        <f t="shared" si="35"/>
        <v>-4156734.1572012799</v>
      </c>
      <c r="K83" s="463">
        <f>IF(I83=0,0,IF(J83=0,0,J83/I83))</f>
        <v>4639.6992406295567</v>
      </c>
      <c r="L83" s="461">
        <f t="shared" ref="L83:N87" si="36">L6</f>
        <v>0</v>
      </c>
      <c r="M83" s="462">
        <f t="shared" si="36"/>
        <v>0</v>
      </c>
      <c r="N83" s="464">
        <f t="shared" si="36"/>
        <v>0</v>
      </c>
      <c r="O83" s="470"/>
      <c r="P83" s="470"/>
      <c r="Q83" s="946"/>
      <c r="R83" s="947"/>
      <c r="S83" s="60" t="s">
        <v>21</v>
      </c>
      <c r="T83" s="478">
        <f>IF(I83=0,0,IF(L83=0,0,(L83-I83)/L83))</f>
        <v>0</v>
      </c>
      <c r="U83" s="464">
        <f>IF(I83=0,0,(I83/1100))</f>
        <v>-0.81445995480228517</v>
      </c>
    </row>
    <row r="84" spans="1:21" ht="15" customHeight="1">
      <c r="A84" s="963"/>
      <c r="B84" s="61" t="s">
        <v>28</v>
      </c>
      <c r="C84" s="53">
        <f t="shared" si="34"/>
        <v>19.668331995977251</v>
      </c>
      <c r="D84" s="54">
        <f t="shared" si="34"/>
        <v>5414.3924827956707</v>
      </c>
      <c r="E84" s="467">
        <f t="shared" si="34"/>
        <v>275.28478184642563</v>
      </c>
      <c r="F84" s="53">
        <f>F77+'Budget-Réel '!AA26</f>
        <v>173.61172486194522</v>
      </c>
      <c r="G84" s="54">
        <f>G77+'Budget-Réel '!AA30</f>
        <v>0</v>
      </c>
      <c r="H84" s="467">
        <f>IF(F84=0,0,IF(G84=0,0,G84/F84))</f>
        <v>0</v>
      </c>
      <c r="I84" s="53">
        <f t="shared" si="35"/>
        <v>-173.61172486194522</v>
      </c>
      <c r="J84" s="468">
        <f t="shared" si="35"/>
        <v>0</v>
      </c>
      <c r="K84" s="467">
        <f>IF(I84=0,0,IF(J84=0,0,J84/I84))</f>
        <v>0</v>
      </c>
      <c r="L84" s="53">
        <f t="shared" si="36"/>
        <v>0</v>
      </c>
      <c r="M84" s="54">
        <f t="shared" si="36"/>
        <v>0</v>
      </c>
      <c r="N84" s="476">
        <f t="shared" si="36"/>
        <v>0</v>
      </c>
      <c r="O84" s="471"/>
      <c r="P84" s="471"/>
      <c r="Q84" s="946"/>
      <c r="R84" s="947"/>
      <c r="S84" s="61" t="s">
        <v>28</v>
      </c>
      <c r="T84" s="479">
        <f>IF(I84=0,0,IF(L84=0,0,(L84-I84)/L84))</f>
        <v>0</v>
      </c>
      <c r="U84" s="476">
        <f>IF(I84=0,0,(I84/1100))</f>
        <v>-0.15782884078358655</v>
      </c>
    </row>
    <row r="85" spans="1:21" ht="15" customHeight="1">
      <c r="A85" s="963"/>
      <c r="B85" s="62" t="s">
        <v>6</v>
      </c>
      <c r="C85" s="53">
        <f t="shared" si="34"/>
        <v>0</v>
      </c>
      <c r="D85" s="54">
        <f t="shared" si="34"/>
        <v>0</v>
      </c>
      <c r="E85" s="467">
        <f t="shared" si="34"/>
        <v>0</v>
      </c>
      <c r="F85" s="53">
        <f>F78+'Budget-Réel '!AA11</f>
        <v>52.347234729149953</v>
      </c>
      <c r="G85" s="54">
        <f>G78+'Budget-Réel '!AA15</f>
        <v>4012691</v>
      </c>
      <c r="H85" s="467">
        <f>IF(F85=0,0,IF(G85=0,0,G85/F85))</f>
        <v>76655.262131076859</v>
      </c>
      <c r="I85" s="53">
        <f t="shared" si="35"/>
        <v>-52.347234729149953</v>
      </c>
      <c r="J85" s="468">
        <f t="shared" si="35"/>
        <v>-4012691</v>
      </c>
      <c r="K85" s="467">
        <f>IF(I85=0,0,IF(J85=0,0,J85/I85))</f>
        <v>76655.262131076859</v>
      </c>
      <c r="L85" s="53">
        <f t="shared" si="36"/>
        <v>0</v>
      </c>
      <c r="M85" s="54">
        <f t="shared" si="36"/>
        <v>0</v>
      </c>
      <c r="N85" s="476">
        <f t="shared" si="36"/>
        <v>0</v>
      </c>
      <c r="O85" s="471"/>
      <c r="P85" s="471"/>
      <c r="Q85" s="946"/>
      <c r="R85" s="947"/>
      <c r="S85" s="62" t="s">
        <v>6</v>
      </c>
      <c r="T85" s="479">
        <f>IF(I85=0,0,IF(L85=0,0,(L85-I85)/L85))</f>
        <v>0</v>
      </c>
      <c r="U85" s="476">
        <f>IF(I85=0,0,(I85/1100))</f>
        <v>-4.7588395208318139E-2</v>
      </c>
    </row>
    <row r="86" spans="1:21" ht="15" customHeight="1">
      <c r="A86" s="963"/>
      <c r="B86" s="489" t="s">
        <v>41</v>
      </c>
      <c r="C86" s="53">
        <f t="shared" si="34"/>
        <v>159098.48878321657</v>
      </c>
      <c r="D86" s="54">
        <f t="shared" si="34"/>
        <v>0</v>
      </c>
      <c r="E86" s="467">
        <f t="shared" si="34"/>
        <v>0</v>
      </c>
      <c r="F86" s="53">
        <f>F79+'Budget-Réel '!AA53</f>
        <v>861656.99380000005</v>
      </c>
      <c r="G86" s="54">
        <f>G79+'Budget-Réel '!AA54</f>
        <v>12.760870019678151</v>
      </c>
      <c r="H86" s="467">
        <f>IF(F86=0,0,IF(G86=0,0,G86/F86))</f>
        <v>1.4809686582361899E-5</v>
      </c>
      <c r="I86" s="53">
        <f t="shared" si="35"/>
        <v>-861656.99380000005</v>
      </c>
      <c r="J86" s="468">
        <f t="shared" si="35"/>
        <v>-12.760870019678151</v>
      </c>
      <c r="K86" s="467">
        <f>IF(I86=0,0,IF(J86=0,0,J86/I86))</f>
        <v>1.4809686582361899E-5</v>
      </c>
      <c r="L86" s="53">
        <f t="shared" si="36"/>
        <v>0</v>
      </c>
      <c r="M86" s="54">
        <f t="shared" si="36"/>
        <v>0</v>
      </c>
      <c r="N86" s="476">
        <f t="shared" si="36"/>
        <v>0</v>
      </c>
      <c r="O86" s="471"/>
      <c r="P86" s="471"/>
      <c r="Q86" s="946"/>
      <c r="R86" s="947"/>
      <c r="S86" s="489" t="s">
        <v>41</v>
      </c>
      <c r="T86" s="479">
        <f>IF(I86=0,0,IF(L86=0,0,(L86-I86)/L86))</f>
        <v>0</v>
      </c>
      <c r="U86" s="476">
        <f>IF(I86=0,0,(I86/1100))</f>
        <v>-783.32453981818185</v>
      </c>
    </row>
    <row r="87" spans="1:21" ht="15.75" customHeight="1" thickBot="1">
      <c r="A87" s="964"/>
      <c r="B87" s="460" t="s">
        <v>3</v>
      </c>
      <c r="C87" s="465">
        <f t="shared" si="34"/>
        <v>159214.63366718215</v>
      </c>
      <c r="D87" s="466">
        <f t="shared" si="34"/>
        <v>1774115.5744644878</v>
      </c>
      <c r="E87" s="473">
        <f t="shared" si="34"/>
        <v>11.14291779343003</v>
      </c>
      <c r="F87" s="465">
        <f>SUM(F83:F86)</f>
        <v>862778.85870987363</v>
      </c>
      <c r="G87" s="466">
        <f>SUM(G83:G86)</f>
        <v>8169437.9180712998</v>
      </c>
      <c r="H87" s="473">
        <f>IF(F87=0,0,IF(G87=0,0,G87/F87))</f>
        <v>9.4687506950357871</v>
      </c>
      <c r="I87" s="465">
        <f>SUM(I83:I86)</f>
        <v>-862778.85870987363</v>
      </c>
      <c r="J87" s="466">
        <f>SUM(J83:J86)</f>
        <v>-8169437.9180712998</v>
      </c>
      <c r="K87" s="473">
        <f>IF(I87=0,0,IF(J87=0,0,J87/I87))</f>
        <v>9.4687506950357871</v>
      </c>
      <c r="L87" s="465">
        <f t="shared" si="36"/>
        <v>0</v>
      </c>
      <c r="M87" s="466">
        <f t="shared" si="36"/>
        <v>0</v>
      </c>
      <c r="N87" s="477">
        <f t="shared" si="36"/>
        <v>0</v>
      </c>
      <c r="O87" s="471"/>
      <c r="P87" s="471"/>
      <c r="Q87" s="948"/>
      <c r="R87" s="949"/>
      <c r="S87" s="460" t="s">
        <v>3</v>
      </c>
      <c r="T87" s="480">
        <f>IF(I87=0,0,IF(L87=0,0,(L87-I87)/L87))</f>
        <v>0</v>
      </c>
      <c r="U87" s="477">
        <f>IF(I87=0,0,(I87/1100))</f>
        <v>-784.34441700897605</v>
      </c>
    </row>
    <row r="88" spans="1:21">
      <c r="O88" s="10"/>
      <c r="P88" s="10"/>
      <c r="Q88" s="10"/>
      <c r="R88" s="10"/>
      <c r="S88" s="10"/>
    </row>
    <row r="89" spans="1:21">
      <c r="O89" s="10"/>
      <c r="P89" s="10"/>
      <c r="Q89" s="10"/>
      <c r="R89" s="10"/>
      <c r="S89" s="10"/>
    </row>
    <row r="90" spans="1:21">
      <c r="O90" s="10"/>
      <c r="P90" s="10"/>
      <c r="Q90" s="10"/>
      <c r="R90" s="10"/>
      <c r="S90" s="10"/>
    </row>
    <row r="91" spans="1:21" ht="15.75" thickBot="1">
      <c r="O91" s="10"/>
      <c r="P91" s="10"/>
      <c r="Q91" s="10"/>
      <c r="R91" s="10"/>
      <c r="S91" s="10"/>
    </row>
    <row r="92" spans="1:21" ht="15" customHeight="1">
      <c r="A92" s="898" t="s">
        <v>2042</v>
      </c>
      <c r="B92" s="899"/>
      <c r="C92" s="738"/>
      <c r="E92" s="898" t="s">
        <v>2043</v>
      </c>
      <c r="F92" s="902"/>
      <c r="G92" s="902"/>
      <c r="H92" s="902"/>
      <c r="I92" s="902"/>
      <c r="J92" s="902"/>
      <c r="K92" s="902"/>
      <c r="L92" s="902"/>
      <c r="M92" s="902"/>
      <c r="N92" s="902"/>
      <c r="O92" s="902"/>
      <c r="P92" s="902"/>
      <c r="Q92" s="902"/>
      <c r="R92" s="899"/>
      <c r="S92" s="10"/>
    </row>
    <row r="93" spans="1:21" ht="15" customHeight="1" thickBot="1">
      <c r="A93" s="900"/>
      <c r="B93" s="901"/>
      <c r="C93" s="738"/>
      <c r="E93" s="900"/>
      <c r="F93" s="903"/>
      <c r="G93" s="903"/>
      <c r="H93" s="903"/>
      <c r="I93" s="903"/>
      <c r="J93" s="903"/>
      <c r="K93" s="903"/>
      <c r="L93" s="903"/>
      <c r="M93" s="903"/>
      <c r="N93" s="903"/>
      <c r="O93" s="903"/>
      <c r="P93" s="903"/>
      <c r="Q93" s="903"/>
      <c r="R93" s="901"/>
      <c r="S93" s="10"/>
    </row>
    <row r="94" spans="1:21" ht="15.75" thickBot="1">
      <c r="S94" s="10"/>
    </row>
    <row r="95" spans="1:21" ht="15" customHeight="1">
      <c r="A95" s="739" t="s">
        <v>1918</v>
      </c>
      <c r="B95" s="908" t="s">
        <v>2014</v>
      </c>
      <c r="E95" s="915" t="s">
        <v>21</v>
      </c>
      <c r="F95" s="911"/>
      <c r="G95" s="911"/>
      <c r="H95" s="911"/>
      <c r="I95" s="911"/>
      <c r="J95" s="911"/>
      <c r="K95" s="911"/>
      <c r="L95" s="911"/>
      <c r="M95" s="911"/>
      <c r="N95" s="911"/>
      <c r="O95" s="911"/>
      <c r="P95" s="911"/>
      <c r="Q95" s="911"/>
      <c r="R95" s="912"/>
    </row>
    <row r="96" spans="1:21" ht="15" customHeight="1">
      <c r="A96" s="740"/>
      <c r="B96" s="909"/>
      <c r="E96" s="916"/>
      <c r="F96" s="917"/>
      <c r="G96" s="913"/>
      <c r="H96" s="913"/>
      <c r="I96" s="913"/>
      <c r="J96" s="913"/>
      <c r="K96" s="913"/>
      <c r="L96" s="913"/>
      <c r="M96" s="913"/>
      <c r="N96" s="913"/>
      <c r="O96" s="913"/>
      <c r="P96" s="913"/>
      <c r="Q96" s="913"/>
      <c r="R96" s="914"/>
    </row>
    <row r="97" spans="1:19" ht="16.5" customHeight="1">
      <c r="A97" s="741"/>
      <c r="B97" s="910"/>
      <c r="E97" s="747"/>
      <c r="F97" s="748"/>
      <c r="G97" s="942" t="s">
        <v>29</v>
      </c>
      <c r="H97" s="942" t="s">
        <v>30</v>
      </c>
      <c r="I97" s="942" t="s">
        <v>31</v>
      </c>
      <c r="J97" s="942" t="s">
        <v>32</v>
      </c>
      <c r="K97" s="942" t="s">
        <v>33</v>
      </c>
      <c r="L97" s="942" t="s">
        <v>34</v>
      </c>
      <c r="M97" s="942" t="s">
        <v>35</v>
      </c>
      <c r="N97" s="942" t="s">
        <v>65</v>
      </c>
      <c r="O97" s="942" t="s">
        <v>37</v>
      </c>
      <c r="P97" s="942" t="s">
        <v>38</v>
      </c>
      <c r="Q97" s="942" t="s">
        <v>39</v>
      </c>
      <c r="R97" s="944" t="s">
        <v>40</v>
      </c>
      <c r="S97" s="11"/>
    </row>
    <row r="98" spans="1:19" ht="15" customHeight="1">
      <c r="A98" s="742" t="s">
        <v>21</v>
      </c>
      <c r="B98" s="481">
        <f>((H6+H13+H20+H27+H34+H41+H48+H55+H62+H69+H76+H83)/12)</f>
        <v>4557.5041048250505</v>
      </c>
      <c r="E98" s="749"/>
      <c r="F98" s="750"/>
      <c r="G98" s="943"/>
      <c r="H98" s="943"/>
      <c r="I98" s="943"/>
      <c r="J98" s="943"/>
      <c r="K98" s="943"/>
      <c r="L98" s="943"/>
      <c r="M98" s="943"/>
      <c r="N98" s="943"/>
      <c r="O98" s="943"/>
      <c r="P98" s="943"/>
      <c r="Q98" s="943"/>
      <c r="R98" s="945"/>
      <c r="S98" s="11"/>
    </row>
    <row r="99" spans="1:19" ht="15" customHeight="1">
      <c r="A99" s="743" t="s">
        <v>28</v>
      </c>
      <c r="B99" s="344">
        <f>((H7+H14+H21+H28+H35+H42+H49+H56+H63+H70+H77+H84)/12)</f>
        <v>0</v>
      </c>
      <c r="E99" s="922" t="s">
        <v>2016</v>
      </c>
      <c r="F99" s="735" t="s">
        <v>79</v>
      </c>
      <c r="G99" s="51">
        <f>F6</f>
        <v>294.47736671231172</v>
      </c>
      <c r="H99" s="52">
        <f>F13</f>
        <v>772.37316659182966</v>
      </c>
      <c r="I99" s="52">
        <f>F20</f>
        <v>895.90595028251369</v>
      </c>
      <c r="J99" s="52">
        <f>F27</f>
        <v>895.90595028251369</v>
      </c>
      <c r="K99" s="52">
        <f>F34</f>
        <v>895.90595028251369</v>
      </c>
      <c r="L99" s="52">
        <f>F41</f>
        <v>895.90595028251369</v>
      </c>
      <c r="M99" s="52">
        <f>F48</f>
        <v>895.90595028251369</v>
      </c>
      <c r="N99" s="52">
        <f>F55</f>
        <v>895.90595028251369</v>
      </c>
      <c r="O99" s="52">
        <f>F62</f>
        <v>895.90595028251369</v>
      </c>
      <c r="P99" s="52">
        <f>F69</f>
        <v>895.90595028251369</v>
      </c>
      <c r="Q99" s="52">
        <f>F76</f>
        <v>895.90595028251369</v>
      </c>
      <c r="R99" s="490">
        <f>F83</f>
        <v>895.90595028251369</v>
      </c>
      <c r="S99" s="11"/>
    </row>
    <row r="100" spans="1:19" ht="15.75" customHeight="1" thickBot="1">
      <c r="A100" s="744" t="s">
        <v>6</v>
      </c>
      <c r="B100" s="344">
        <f>((H8+H15+H22+H29+H36+H43+H50+H57+H64+H71+H78+H85)/12)</f>
        <v>74517.879144176753</v>
      </c>
      <c r="E100" s="924"/>
      <c r="F100" s="736" t="s">
        <v>80</v>
      </c>
      <c r="G100" s="57">
        <f>I6</f>
        <v>-294.47736671231172</v>
      </c>
      <c r="H100" s="58">
        <f>I13</f>
        <v>-772.37316659182966</v>
      </c>
      <c r="I100" s="58">
        <f>I20</f>
        <v>-895.90595028251369</v>
      </c>
      <c r="J100" s="58">
        <f>I27</f>
        <v>-895.90595028251369</v>
      </c>
      <c r="K100" s="58">
        <f>I34</f>
        <v>-895.90595028251369</v>
      </c>
      <c r="L100" s="58">
        <f>I41</f>
        <v>-895.90595028251369</v>
      </c>
      <c r="M100" s="58">
        <f>I48</f>
        <v>-895.90595028251369</v>
      </c>
      <c r="N100" s="58">
        <f>I55</f>
        <v>-895.90595028251369</v>
      </c>
      <c r="O100" s="58">
        <f>I62</f>
        <v>-895.90595028251369</v>
      </c>
      <c r="P100" s="58">
        <f>I69</f>
        <v>-895.90595028251369</v>
      </c>
      <c r="Q100" s="58">
        <f>I76</f>
        <v>-895.90595028251369</v>
      </c>
      <c r="R100" s="663">
        <f>I83</f>
        <v>-895.90595028251369</v>
      </c>
    </row>
    <row r="101" spans="1:19" ht="15" customHeight="1">
      <c r="A101" s="745" t="s">
        <v>41</v>
      </c>
      <c r="B101" s="344">
        <f>((H9+H16+H23+H30+H37+H44+H51+H58+H65+H72+H79+H86)/12)</f>
        <v>1.4841239358168659E-5</v>
      </c>
      <c r="E101" s="664"/>
      <c r="F101" s="664"/>
      <c r="G101" s="664"/>
      <c r="H101" s="664"/>
      <c r="I101" s="664"/>
      <c r="J101" s="664"/>
      <c r="K101" s="664"/>
      <c r="L101" s="664"/>
      <c r="M101" s="664"/>
      <c r="N101" s="664"/>
      <c r="O101" s="664"/>
      <c r="P101" s="664"/>
      <c r="Q101" s="664"/>
      <c r="R101" s="664"/>
    </row>
    <row r="102" spans="1:19" ht="15.75" customHeight="1" thickBot="1">
      <c r="A102" s="746" t="s">
        <v>3</v>
      </c>
      <c r="B102" s="668">
        <f>((H10+H17+H24+H31+H38+H45+H52+H59+H66+H73+H80+H87)/12)</f>
        <v>8.8297844481086099</v>
      </c>
    </row>
    <row r="103" spans="1:19" ht="15" customHeight="1">
      <c r="E103" s="929" t="s">
        <v>28</v>
      </c>
      <c r="F103" s="930"/>
      <c r="G103" s="491"/>
      <c r="H103" s="491"/>
      <c r="I103" s="491"/>
      <c r="J103" s="491"/>
      <c r="K103" s="491"/>
      <c r="L103" s="491"/>
      <c r="M103" s="491"/>
      <c r="N103" s="491"/>
      <c r="O103" s="491"/>
      <c r="P103" s="491"/>
      <c r="Q103" s="491"/>
      <c r="R103" s="492"/>
    </row>
    <row r="104" spans="1:19" ht="15" customHeight="1">
      <c r="E104" s="931"/>
      <c r="F104" s="932"/>
      <c r="G104" s="493"/>
      <c r="H104" s="493"/>
      <c r="I104" s="493"/>
      <c r="J104" s="493"/>
      <c r="K104" s="493"/>
      <c r="L104" s="493"/>
      <c r="M104" s="493"/>
      <c r="N104" s="493"/>
      <c r="O104" s="493"/>
      <c r="P104" s="493"/>
      <c r="Q104" s="493"/>
      <c r="R104" s="494"/>
    </row>
    <row r="105" spans="1:19" ht="15" customHeight="1">
      <c r="E105" s="751"/>
      <c r="F105" s="493"/>
      <c r="G105" s="904" t="s">
        <v>29</v>
      </c>
      <c r="H105" s="904" t="s">
        <v>30</v>
      </c>
      <c r="I105" s="904" t="s">
        <v>31</v>
      </c>
      <c r="J105" s="904" t="s">
        <v>32</v>
      </c>
      <c r="K105" s="904" t="s">
        <v>33</v>
      </c>
      <c r="L105" s="904" t="s">
        <v>34</v>
      </c>
      <c r="M105" s="904" t="s">
        <v>35</v>
      </c>
      <c r="N105" s="904" t="s">
        <v>65</v>
      </c>
      <c r="O105" s="904" t="s">
        <v>37</v>
      </c>
      <c r="P105" s="904" t="s">
        <v>38</v>
      </c>
      <c r="Q105" s="904" t="s">
        <v>39</v>
      </c>
      <c r="R105" s="906" t="s">
        <v>40</v>
      </c>
    </row>
    <row r="106" spans="1:19" ht="15" customHeight="1">
      <c r="E106" s="752"/>
      <c r="F106" s="753"/>
      <c r="G106" s="905"/>
      <c r="H106" s="905"/>
      <c r="I106" s="905"/>
      <c r="J106" s="905"/>
      <c r="K106" s="905"/>
      <c r="L106" s="905"/>
      <c r="M106" s="905"/>
      <c r="N106" s="905"/>
      <c r="O106" s="905"/>
      <c r="P106" s="905"/>
      <c r="Q106" s="905"/>
      <c r="R106" s="907"/>
    </row>
    <row r="107" spans="1:19">
      <c r="E107" s="922" t="s">
        <v>2016</v>
      </c>
      <c r="F107" s="735" t="s">
        <v>79</v>
      </c>
      <c r="G107" s="51">
        <f>F7</f>
        <v>44.830852865163536</v>
      </c>
      <c r="H107" s="52">
        <f>F14</f>
        <v>81.022276277742534</v>
      </c>
      <c r="I107" s="52">
        <f>F21</f>
        <v>173.61172486194522</v>
      </c>
      <c r="J107" s="52">
        <f>F28</f>
        <v>173.61172486194522</v>
      </c>
      <c r="K107" s="52">
        <f>F35</f>
        <v>173.61172486194522</v>
      </c>
      <c r="L107" s="52">
        <f>F42</f>
        <v>173.61172486194522</v>
      </c>
      <c r="M107" s="52">
        <f>F49</f>
        <v>173.61172486194522</v>
      </c>
      <c r="N107" s="52">
        <f>F56</f>
        <v>173.61172486194522</v>
      </c>
      <c r="O107" s="52">
        <f>F63</f>
        <v>173.61172486194522</v>
      </c>
      <c r="P107" s="52">
        <f>F70</f>
        <v>173.61172486194522</v>
      </c>
      <c r="Q107" s="52">
        <f>F77</f>
        <v>173.61172486194522</v>
      </c>
      <c r="R107" s="490">
        <f>F84</f>
        <v>173.61172486194522</v>
      </c>
    </row>
    <row r="108" spans="1:19" ht="15.75" thickBot="1">
      <c r="E108" s="923"/>
      <c r="F108" s="737" t="s">
        <v>80</v>
      </c>
      <c r="G108" s="665">
        <f>I7</f>
        <v>-44.830852865163536</v>
      </c>
      <c r="H108" s="666">
        <f>I14</f>
        <v>-81.022276277742534</v>
      </c>
      <c r="I108" s="666">
        <f>I21</f>
        <v>-173.61172486194522</v>
      </c>
      <c r="J108" s="666">
        <f>I28</f>
        <v>-173.61172486194522</v>
      </c>
      <c r="K108" s="666">
        <f>I35</f>
        <v>-173.61172486194522</v>
      </c>
      <c r="L108" s="666">
        <f>I42</f>
        <v>-173.61172486194522</v>
      </c>
      <c r="M108" s="666">
        <f>I49</f>
        <v>-173.61172486194522</v>
      </c>
      <c r="N108" s="666">
        <f>I56</f>
        <v>-173.61172486194522</v>
      </c>
      <c r="O108" s="666">
        <f>I63</f>
        <v>-173.61172486194522</v>
      </c>
      <c r="P108" s="666">
        <f>I70</f>
        <v>-173.61172486194522</v>
      </c>
      <c r="Q108" s="666">
        <f>I77</f>
        <v>-173.61172486194522</v>
      </c>
      <c r="R108" s="667">
        <f>I84</f>
        <v>-173.61172486194522</v>
      </c>
    </row>
    <row r="110" spans="1:19" ht="15.75" thickBot="1"/>
    <row r="111" spans="1:19" ht="15" customHeight="1">
      <c r="E111" s="933" t="s">
        <v>6</v>
      </c>
      <c r="F111" s="925"/>
      <c r="G111" s="925"/>
      <c r="H111" s="925"/>
      <c r="I111" s="925"/>
      <c r="J111" s="925"/>
      <c r="K111" s="925"/>
      <c r="L111" s="925"/>
      <c r="M111" s="925"/>
      <c r="N111" s="925"/>
      <c r="O111" s="925"/>
      <c r="P111" s="925"/>
      <c r="Q111" s="925"/>
      <c r="R111" s="926"/>
    </row>
    <row r="112" spans="1:19" ht="15" customHeight="1">
      <c r="E112" s="934"/>
      <c r="F112" s="935"/>
      <c r="G112" s="927"/>
      <c r="H112" s="927"/>
      <c r="I112" s="927"/>
      <c r="J112" s="927"/>
      <c r="K112" s="927"/>
      <c r="L112" s="927"/>
      <c r="M112" s="927"/>
      <c r="N112" s="927"/>
      <c r="O112" s="927"/>
      <c r="P112" s="927"/>
      <c r="Q112" s="927"/>
      <c r="R112" s="928"/>
    </row>
    <row r="113" spans="5:18" ht="15" customHeight="1">
      <c r="E113" s="754"/>
      <c r="F113" s="755"/>
      <c r="G113" s="918" t="s">
        <v>29</v>
      </c>
      <c r="H113" s="918" t="s">
        <v>30</v>
      </c>
      <c r="I113" s="918" t="s">
        <v>31</v>
      </c>
      <c r="J113" s="918" t="s">
        <v>32</v>
      </c>
      <c r="K113" s="918" t="s">
        <v>33</v>
      </c>
      <c r="L113" s="918" t="s">
        <v>34</v>
      </c>
      <c r="M113" s="918" t="s">
        <v>35</v>
      </c>
      <c r="N113" s="918" t="s">
        <v>65</v>
      </c>
      <c r="O113" s="918" t="s">
        <v>37</v>
      </c>
      <c r="P113" s="918" t="s">
        <v>38</v>
      </c>
      <c r="Q113" s="918" t="s">
        <v>39</v>
      </c>
      <c r="R113" s="920" t="s">
        <v>40</v>
      </c>
    </row>
    <row r="114" spans="5:18" ht="15" customHeight="1">
      <c r="E114" s="756"/>
      <c r="F114" s="757"/>
      <c r="G114" s="919"/>
      <c r="H114" s="919"/>
      <c r="I114" s="919"/>
      <c r="J114" s="919"/>
      <c r="K114" s="919"/>
      <c r="L114" s="919"/>
      <c r="M114" s="919"/>
      <c r="N114" s="919"/>
      <c r="O114" s="919"/>
      <c r="P114" s="919"/>
      <c r="Q114" s="919"/>
      <c r="R114" s="921"/>
    </row>
    <row r="115" spans="5:18">
      <c r="E115" s="922" t="s">
        <v>2016</v>
      </c>
      <c r="F115" s="735" t="s">
        <v>79</v>
      </c>
      <c r="G115" s="51">
        <f>F8</f>
        <v>18.11211203013676</v>
      </c>
      <c r="H115" s="52">
        <f>F15</f>
        <v>34.20221743646114</v>
      </c>
      <c r="I115" s="52">
        <f>F22</f>
        <v>52.347234729149953</v>
      </c>
      <c r="J115" s="52">
        <f>F29</f>
        <v>52.347234729149953</v>
      </c>
      <c r="K115" s="52">
        <f>F36</f>
        <v>52.347234729149953</v>
      </c>
      <c r="L115" s="52">
        <f>F43</f>
        <v>52.347234729149953</v>
      </c>
      <c r="M115" s="52">
        <f>F50</f>
        <v>52.347234729149953</v>
      </c>
      <c r="N115" s="52">
        <f>F57</f>
        <v>52.347234729149953</v>
      </c>
      <c r="O115" s="52">
        <f>F64</f>
        <v>52.347234729149953</v>
      </c>
      <c r="P115" s="52">
        <f>F71</f>
        <v>52.347234729149953</v>
      </c>
      <c r="Q115" s="52">
        <f>F78</f>
        <v>52.347234729149953</v>
      </c>
      <c r="R115" s="490">
        <f>F85</f>
        <v>52.347234729149953</v>
      </c>
    </row>
    <row r="116" spans="5:18" ht="15.75" thickBot="1">
      <c r="E116" s="923"/>
      <c r="F116" s="737" t="s">
        <v>80</v>
      </c>
      <c r="G116" s="665">
        <f>I8</f>
        <v>-18.11211203013676</v>
      </c>
      <c r="H116" s="666">
        <f>I15</f>
        <v>-34.20221743646114</v>
      </c>
      <c r="I116" s="666">
        <f>I22</f>
        <v>-52.347234729149953</v>
      </c>
      <c r="J116" s="666">
        <f>I29</f>
        <v>-52.347234729149953</v>
      </c>
      <c r="K116" s="666">
        <f>I36</f>
        <v>-52.347234729149953</v>
      </c>
      <c r="L116" s="666">
        <f>I43</f>
        <v>-52.347234729149953</v>
      </c>
      <c r="M116" s="666">
        <f>I50</f>
        <v>-52.347234729149953</v>
      </c>
      <c r="N116" s="666">
        <f>I57</f>
        <v>-52.347234729149953</v>
      </c>
      <c r="O116" s="666">
        <f>I64</f>
        <v>-52.347234729149953</v>
      </c>
      <c r="P116" s="666">
        <f>I71</f>
        <v>-52.347234729149953</v>
      </c>
      <c r="Q116" s="666">
        <f>I78</f>
        <v>-52.347234729149953</v>
      </c>
      <c r="R116" s="667">
        <f>I85</f>
        <v>-52.347234729149953</v>
      </c>
    </row>
    <row r="118" spans="5:18" ht="15.75" thickBot="1"/>
    <row r="119" spans="5:18" ht="15" customHeight="1">
      <c r="E119" s="977" t="s">
        <v>41</v>
      </c>
      <c r="F119" s="969"/>
      <c r="G119" s="969"/>
      <c r="H119" s="969"/>
      <c r="I119" s="969"/>
      <c r="J119" s="969"/>
      <c r="K119" s="969"/>
      <c r="L119" s="969"/>
      <c r="M119" s="969"/>
      <c r="N119" s="969"/>
      <c r="O119" s="969"/>
      <c r="P119" s="969"/>
      <c r="Q119" s="969"/>
      <c r="R119" s="970"/>
    </row>
    <row r="120" spans="5:18" ht="15" customHeight="1">
      <c r="E120" s="978"/>
      <c r="F120" s="979"/>
      <c r="G120" s="971"/>
      <c r="H120" s="971"/>
      <c r="I120" s="971"/>
      <c r="J120" s="971"/>
      <c r="K120" s="971"/>
      <c r="L120" s="971"/>
      <c r="M120" s="971"/>
      <c r="N120" s="971"/>
      <c r="O120" s="971"/>
      <c r="P120" s="971"/>
      <c r="Q120" s="971"/>
      <c r="R120" s="972"/>
    </row>
    <row r="121" spans="5:18" ht="15" customHeight="1">
      <c r="E121" s="758"/>
      <c r="F121" s="759"/>
      <c r="G121" s="973" t="s">
        <v>29</v>
      </c>
      <c r="H121" s="973" t="s">
        <v>30</v>
      </c>
      <c r="I121" s="973" t="s">
        <v>31</v>
      </c>
      <c r="J121" s="973" t="s">
        <v>32</v>
      </c>
      <c r="K121" s="973" t="s">
        <v>33</v>
      </c>
      <c r="L121" s="973" t="s">
        <v>34</v>
      </c>
      <c r="M121" s="973" t="s">
        <v>35</v>
      </c>
      <c r="N121" s="973" t="s">
        <v>65</v>
      </c>
      <c r="O121" s="973" t="s">
        <v>37</v>
      </c>
      <c r="P121" s="973" t="s">
        <v>38</v>
      </c>
      <c r="Q121" s="973" t="s">
        <v>39</v>
      </c>
      <c r="R121" s="975" t="s">
        <v>40</v>
      </c>
    </row>
    <row r="122" spans="5:18" ht="15" customHeight="1">
      <c r="E122" s="760"/>
      <c r="F122" s="761"/>
      <c r="G122" s="974"/>
      <c r="H122" s="974"/>
      <c r="I122" s="974"/>
      <c r="J122" s="974"/>
      <c r="K122" s="974"/>
      <c r="L122" s="974"/>
      <c r="M122" s="974"/>
      <c r="N122" s="974"/>
      <c r="O122" s="974"/>
      <c r="P122" s="974"/>
      <c r="Q122" s="974"/>
      <c r="R122" s="976"/>
    </row>
    <row r="123" spans="5:18">
      <c r="E123" s="922" t="s">
        <v>2016</v>
      </c>
      <c r="F123" s="735" t="s">
        <v>79</v>
      </c>
      <c r="G123" s="51">
        <f>F9</f>
        <v>459703.64780000004</v>
      </c>
      <c r="H123" s="52">
        <f>F16</f>
        <v>861656.99380000005</v>
      </c>
      <c r="I123" s="52">
        <f>F23</f>
        <v>861656.99380000005</v>
      </c>
      <c r="J123" s="52">
        <f>F30</f>
        <v>861656.99380000005</v>
      </c>
      <c r="K123" s="52">
        <f>F37</f>
        <v>861656.99380000005</v>
      </c>
      <c r="L123" s="52">
        <f>F44</f>
        <v>861656.99380000005</v>
      </c>
      <c r="M123" s="52">
        <f>F51</f>
        <v>861656.99380000005</v>
      </c>
      <c r="N123" s="52">
        <f>F58</f>
        <v>861656.99380000005</v>
      </c>
      <c r="O123" s="52">
        <f>F65</f>
        <v>861656.99380000005</v>
      </c>
      <c r="P123" s="52">
        <f>F72</f>
        <v>861656.99380000005</v>
      </c>
      <c r="Q123" s="52">
        <f>F79</f>
        <v>861656.99380000005</v>
      </c>
      <c r="R123" s="490">
        <f>F86</f>
        <v>861656.99380000005</v>
      </c>
    </row>
    <row r="124" spans="5:18" ht="15.75" thickBot="1">
      <c r="E124" s="923"/>
      <c r="F124" s="737" t="s">
        <v>80</v>
      </c>
      <c r="G124" s="665">
        <f>I9</f>
        <v>-459703.64780000004</v>
      </c>
      <c r="H124" s="666">
        <f>I16</f>
        <v>-861656.99380000005</v>
      </c>
      <c r="I124" s="666">
        <f>I23</f>
        <v>-861656.99380000005</v>
      </c>
      <c r="J124" s="666">
        <f>I30</f>
        <v>-861656.99380000005</v>
      </c>
      <c r="K124" s="666">
        <f>I37</f>
        <v>-861656.99380000005</v>
      </c>
      <c r="L124" s="666">
        <f>I44</f>
        <v>-861656.99380000005</v>
      </c>
      <c r="M124" s="666">
        <f>I51</f>
        <v>-861656.99380000005</v>
      </c>
      <c r="N124" s="666">
        <f>I58</f>
        <v>-861656.99380000005</v>
      </c>
      <c r="O124" s="666">
        <f>I65</f>
        <v>-861656.99380000005</v>
      </c>
      <c r="P124" s="666">
        <f>I72</f>
        <v>-861656.99380000005</v>
      </c>
      <c r="Q124" s="666">
        <f>I79</f>
        <v>-861656.99380000005</v>
      </c>
      <c r="R124" s="667">
        <f>I86</f>
        <v>-861656.99380000005</v>
      </c>
    </row>
  </sheetData>
  <mergeCells count="186">
    <mergeCell ref="E123:E124"/>
    <mergeCell ref="G119:R120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Q121:Q122"/>
    <mergeCell ref="R121:R122"/>
    <mergeCell ref="E119:F120"/>
    <mergeCell ref="E115:E116"/>
    <mergeCell ref="A1:N2"/>
    <mergeCell ref="T4:T5"/>
    <mergeCell ref="T11:T12"/>
    <mergeCell ref="T53:T54"/>
    <mergeCell ref="T60:T61"/>
    <mergeCell ref="T67:T68"/>
    <mergeCell ref="T74:T75"/>
    <mergeCell ref="T81:T82"/>
    <mergeCell ref="T18:T19"/>
    <mergeCell ref="T25:T26"/>
    <mergeCell ref="T32:T33"/>
    <mergeCell ref="T39:T40"/>
    <mergeCell ref="T46:T47"/>
    <mergeCell ref="S4:S5"/>
    <mergeCell ref="L39:N39"/>
    <mergeCell ref="S39:S40"/>
    <mergeCell ref="C32:E32"/>
    <mergeCell ref="F32:H32"/>
    <mergeCell ref="A4:A5"/>
    <mergeCell ref="A6:A10"/>
    <mergeCell ref="F11:H11"/>
    <mergeCell ref="I11:K11"/>
    <mergeCell ref="L11:N11"/>
    <mergeCell ref="A11:A17"/>
    <mergeCell ref="A18:A24"/>
    <mergeCell ref="F53:H53"/>
    <mergeCell ref="I53:K53"/>
    <mergeCell ref="L53:N53"/>
    <mergeCell ref="S53:S54"/>
    <mergeCell ref="U11:U12"/>
    <mergeCell ref="F18:H18"/>
    <mergeCell ref="I18:K18"/>
    <mergeCell ref="L18:N18"/>
    <mergeCell ref="S18:S19"/>
    <mergeCell ref="U18:U19"/>
    <mergeCell ref="B11:B12"/>
    <mergeCell ref="U32:U33"/>
    <mergeCell ref="A25:A31"/>
    <mergeCell ref="B25:B26"/>
    <mergeCell ref="C25:E25"/>
    <mergeCell ref="F25:H25"/>
    <mergeCell ref="I25:K25"/>
    <mergeCell ref="I46:K46"/>
    <mergeCell ref="L46:N46"/>
    <mergeCell ref="S46:S47"/>
    <mergeCell ref="U46:U47"/>
    <mergeCell ref="U39:U40"/>
    <mergeCell ref="U4:U5"/>
    <mergeCell ref="I4:K4"/>
    <mergeCell ref="L4:N4"/>
    <mergeCell ref="C18:E18"/>
    <mergeCell ref="C11:E11"/>
    <mergeCell ref="B18:B19"/>
    <mergeCell ref="B4:B5"/>
    <mergeCell ref="C4:E4"/>
    <mergeCell ref="F4:H4"/>
    <mergeCell ref="S11:S12"/>
    <mergeCell ref="A39:A45"/>
    <mergeCell ref="B39:B40"/>
    <mergeCell ref="C39:E39"/>
    <mergeCell ref="F39:H39"/>
    <mergeCell ref="I39:K39"/>
    <mergeCell ref="L25:N25"/>
    <mergeCell ref="S25:S26"/>
    <mergeCell ref="U25:U26"/>
    <mergeCell ref="A32:A38"/>
    <mergeCell ref="B32:B33"/>
    <mergeCell ref="I32:K32"/>
    <mergeCell ref="L32:N32"/>
    <mergeCell ref="S32:S33"/>
    <mergeCell ref="U53:U54"/>
    <mergeCell ref="A46:A52"/>
    <mergeCell ref="B46:B47"/>
    <mergeCell ref="C46:E46"/>
    <mergeCell ref="F46:H46"/>
    <mergeCell ref="U60:U61"/>
    <mergeCell ref="A67:A73"/>
    <mergeCell ref="B67:B68"/>
    <mergeCell ref="C67:E67"/>
    <mergeCell ref="F67:H67"/>
    <mergeCell ref="I67:K67"/>
    <mergeCell ref="L67:N67"/>
    <mergeCell ref="S67:S68"/>
    <mergeCell ref="U67:U68"/>
    <mergeCell ref="A60:A66"/>
    <mergeCell ref="B60:B61"/>
    <mergeCell ref="C60:E60"/>
    <mergeCell ref="F60:H60"/>
    <mergeCell ref="I60:K60"/>
    <mergeCell ref="Q60:R66"/>
    <mergeCell ref="Q67:R73"/>
    <mergeCell ref="A53:A59"/>
    <mergeCell ref="B53:B54"/>
    <mergeCell ref="C53:E53"/>
    <mergeCell ref="L74:N74"/>
    <mergeCell ref="S74:S75"/>
    <mergeCell ref="U74:U75"/>
    <mergeCell ref="A81:A87"/>
    <mergeCell ref="B81:B82"/>
    <mergeCell ref="C81:E81"/>
    <mergeCell ref="F81:H81"/>
    <mergeCell ref="I81:K81"/>
    <mergeCell ref="L81:N81"/>
    <mergeCell ref="S81:S82"/>
    <mergeCell ref="U81:U82"/>
    <mergeCell ref="A74:A80"/>
    <mergeCell ref="B74:B75"/>
    <mergeCell ref="C74:E74"/>
    <mergeCell ref="F74:H74"/>
    <mergeCell ref="I74:K74"/>
    <mergeCell ref="Q74:R80"/>
    <mergeCell ref="Q81:R87"/>
    <mergeCell ref="Q1:U2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R97:R98"/>
    <mergeCell ref="Q6:R10"/>
    <mergeCell ref="Q11:R17"/>
    <mergeCell ref="Q18:R24"/>
    <mergeCell ref="Q25:R31"/>
    <mergeCell ref="Q32:R38"/>
    <mergeCell ref="Q4:R5"/>
    <mergeCell ref="Q39:R45"/>
    <mergeCell ref="Q46:R52"/>
    <mergeCell ref="Q53:R59"/>
    <mergeCell ref="L60:N60"/>
    <mergeCell ref="S60:S61"/>
    <mergeCell ref="L113:L114"/>
    <mergeCell ref="M113:M114"/>
    <mergeCell ref="N113:N114"/>
    <mergeCell ref="O113:O114"/>
    <mergeCell ref="P113:P114"/>
    <mergeCell ref="Q113:Q114"/>
    <mergeCell ref="R113:R114"/>
    <mergeCell ref="E107:E108"/>
    <mergeCell ref="E99:E100"/>
    <mergeCell ref="G113:G114"/>
    <mergeCell ref="H113:H114"/>
    <mergeCell ref="I113:I114"/>
    <mergeCell ref="J113:J114"/>
    <mergeCell ref="K113:K114"/>
    <mergeCell ref="G111:R112"/>
    <mergeCell ref="E103:F104"/>
    <mergeCell ref="E111:F112"/>
    <mergeCell ref="A92:B93"/>
    <mergeCell ref="E92:R93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B95:B97"/>
    <mergeCell ref="G95:R96"/>
    <mergeCell ref="E95:F96"/>
  </mergeCells>
  <pageMargins left="0.7" right="0.7" top="0.75" bottom="0.75" header="0.3" footer="0.3"/>
  <pageSetup paperSize="9" orientation="portrait" r:id="rId1"/>
  <ignoredErrors>
    <ignoredError sqref="E10 H10 K10 H17 K17 H8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theme="9"/>
  </sheetPr>
  <dimension ref="A1:AH2"/>
  <sheetViews>
    <sheetView zoomScale="70" zoomScaleNormal="70" workbookViewId="0">
      <selection activeCell="Q58" sqref="Q58"/>
    </sheetView>
  </sheetViews>
  <sheetFormatPr baseColWidth="10" defaultRowHeight="15"/>
  <sheetData>
    <row r="1" spans="1:34">
      <c r="A1" s="980" t="s">
        <v>2045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2"/>
      <c r="R1" s="980" t="s">
        <v>2045</v>
      </c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2"/>
    </row>
    <row r="2" spans="1:34" ht="15.75" thickBot="1">
      <c r="A2" s="983"/>
      <c r="B2" s="984"/>
      <c r="C2" s="984"/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984"/>
      <c r="O2" s="984"/>
      <c r="P2" s="984"/>
      <c r="Q2" s="985"/>
      <c r="R2" s="983"/>
      <c r="S2" s="984"/>
      <c r="T2" s="984"/>
      <c r="U2" s="984"/>
      <c r="V2" s="984"/>
      <c r="W2" s="984"/>
      <c r="X2" s="984"/>
      <c r="Y2" s="984"/>
      <c r="Z2" s="984"/>
      <c r="AA2" s="984"/>
      <c r="AB2" s="984"/>
      <c r="AC2" s="984"/>
      <c r="AD2" s="984"/>
      <c r="AE2" s="984"/>
      <c r="AF2" s="984"/>
      <c r="AG2" s="984"/>
      <c r="AH2" s="985"/>
    </row>
  </sheetData>
  <mergeCells count="2">
    <mergeCell ref="A1:Q2"/>
    <mergeCell ref="R1:AH2"/>
  </mergeCells>
  <pageMargins left="0.25" right="0.25" top="0.75" bottom="0.75" header="0.3" footer="0.3"/>
  <pageSetup paperSize="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2" tint="-0.499984740745262"/>
  </sheetPr>
  <dimension ref="A1:AM32"/>
  <sheetViews>
    <sheetView zoomScale="85" zoomScaleNormal="85" workbookViewId="0">
      <selection activeCell="V28" sqref="V28"/>
    </sheetView>
  </sheetViews>
  <sheetFormatPr baseColWidth="10" defaultRowHeight="15"/>
  <cols>
    <col min="1" max="1" width="26.7109375" customWidth="1"/>
    <col min="2" max="37" width="6.7109375" customWidth="1"/>
  </cols>
  <sheetData>
    <row r="1" spans="1:39">
      <c r="A1" s="986" t="s">
        <v>2048</v>
      </c>
      <c r="B1" s="891"/>
      <c r="C1" s="891"/>
      <c r="D1" s="891"/>
      <c r="E1" s="891"/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  <c r="U1" s="891"/>
      <c r="V1" s="891"/>
      <c r="W1" s="891"/>
      <c r="X1" s="891"/>
      <c r="Y1" s="891"/>
      <c r="Z1" s="891"/>
      <c r="AA1" s="891"/>
      <c r="AB1" s="891"/>
      <c r="AC1" s="891"/>
      <c r="AD1" s="891"/>
      <c r="AE1" s="891"/>
      <c r="AF1" s="891"/>
      <c r="AG1" s="891"/>
      <c r="AH1" s="891"/>
      <c r="AI1" s="891"/>
      <c r="AJ1" s="891"/>
      <c r="AK1" s="987"/>
    </row>
    <row r="2" spans="1:39" ht="15.75" thickBot="1">
      <c r="A2" s="988"/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892"/>
      <c r="R2" s="892"/>
      <c r="S2" s="892"/>
      <c r="T2" s="892"/>
      <c r="U2" s="892"/>
      <c r="V2" s="892"/>
      <c r="W2" s="892"/>
      <c r="X2" s="892"/>
      <c r="Y2" s="892"/>
      <c r="Z2" s="892"/>
      <c r="AA2" s="892"/>
      <c r="AB2" s="892"/>
      <c r="AC2" s="892"/>
      <c r="AD2" s="892"/>
      <c r="AE2" s="892"/>
      <c r="AF2" s="892"/>
      <c r="AG2" s="892"/>
      <c r="AH2" s="892"/>
      <c r="AI2" s="892"/>
      <c r="AJ2" s="892"/>
      <c r="AK2" s="989"/>
    </row>
    <row r="4" spans="1:39" ht="8.25" customHeight="1"/>
    <row r="5" spans="1:39" ht="15" customHeight="1">
      <c r="A5" s="861" t="s">
        <v>42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8"/>
    </row>
    <row r="6" spans="1:39" ht="16.5" customHeight="1">
      <c r="A6" s="863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0"/>
    </row>
    <row r="7" spans="1:39" ht="21" customHeight="1">
      <c r="A7" s="866" t="s">
        <v>46</v>
      </c>
      <c r="B7" s="993" t="s">
        <v>29</v>
      </c>
      <c r="C7" s="993"/>
      <c r="D7" s="993"/>
      <c r="E7" s="990" t="s">
        <v>30</v>
      </c>
      <c r="F7" s="991"/>
      <c r="G7" s="992"/>
      <c r="H7" s="993" t="s">
        <v>31</v>
      </c>
      <c r="I7" s="993"/>
      <c r="J7" s="993"/>
      <c r="K7" s="990" t="s">
        <v>32</v>
      </c>
      <c r="L7" s="991"/>
      <c r="M7" s="992"/>
      <c r="N7" s="990" t="s">
        <v>33</v>
      </c>
      <c r="O7" s="991"/>
      <c r="P7" s="992"/>
      <c r="Q7" s="990" t="s">
        <v>34</v>
      </c>
      <c r="R7" s="991"/>
      <c r="S7" s="992"/>
      <c r="T7" s="990" t="s">
        <v>35</v>
      </c>
      <c r="U7" s="991"/>
      <c r="V7" s="992"/>
      <c r="W7" s="990" t="s">
        <v>36</v>
      </c>
      <c r="X7" s="991"/>
      <c r="Y7" s="992"/>
      <c r="Z7" s="990" t="s">
        <v>37</v>
      </c>
      <c r="AA7" s="991"/>
      <c r="AB7" s="992"/>
      <c r="AC7" s="990" t="s">
        <v>38</v>
      </c>
      <c r="AD7" s="991"/>
      <c r="AE7" s="992"/>
      <c r="AF7" s="990" t="s">
        <v>39</v>
      </c>
      <c r="AG7" s="991"/>
      <c r="AH7" s="992"/>
      <c r="AI7" s="993" t="s">
        <v>40</v>
      </c>
      <c r="AJ7" s="993"/>
      <c r="AK7" s="993"/>
    </row>
    <row r="8" spans="1:39" ht="19.5" customHeight="1">
      <c r="A8" s="866"/>
      <c r="B8" s="25" t="s">
        <v>43</v>
      </c>
      <c r="C8" s="37" t="s">
        <v>44</v>
      </c>
      <c r="D8" s="24" t="s">
        <v>45</v>
      </c>
      <c r="E8" s="25" t="s">
        <v>43</v>
      </c>
      <c r="F8" s="37" t="s">
        <v>44</v>
      </c>
      <c r="G8" s="24" t="s">
        <v>45</v>
      </c>
      <c r="H8" s="25" t="s">
        <v>43</v>
      </c>
      <c r="I8" s="37" t="s">
        <v>44</v>
      </c>
      <c r="J8" s="24" t="s">
        <v>45</v>
      </c>
      <c r="K8" s="25" t="s">
        <v>43</v>
      </c>
      <c r="L8" s="37" t="s">
        <v>44</v>
      </c>
      <c r="M8" s="24" t="s">
        <v>45</v>
      </c>
      <c r="N8" s="25" t="s">
        <v>43</v>
      </c>
      <c r="O8" s="37" t="s">
        <v>44</v>
      </c>
      <c r="P8" s="24" t="s">
        <v>45</v>
      </c>
      <c r="Q8" s="25" t="s">
        <v>43</v>
      </c>
      <c r="R8" s="37" t="s">
        <v>44</v>
      </c>
      <c r="S8" s="24" t="s">
        <v>45</v>
      </c>
      <c r="T8" s="25" t="s">
        <v>43</v>
      </c>
      <c r="U8" s="37" t="s">
        <v>44</v>
      </c>
      <c r="V8" s="24" t="s">
        <v>45</v>
      </c>
      <c r="W8" s="25" t="s">
        <v>43</v>
      </c>
      <c r="X8" s="37" t="s">
        <v>44</v>
      </c>
      <c r="Y8" s="24" t="s">
        <v>45</v>
      </c>
      <c r="Z8" s="25" t="s">
        <v>43</v>
      </c>
      <c r="AA8" s="37" t="s">
        <v>44</v>
      </c>
      <c r="AB8" s="24" t="s">
        <v>45</v>
      </c>
      <c r="AC8" s="25" t="s">
        <v>43</v>
      </c>
      <c r="AD8" s="37" t="s">
        <v>44</v>
      </c>
      <c r="AE8" s="24" t="s">
        <v>45</v>
      </c>
      <c r="AF8" s="25" t="s">
        <v>43</v>
      </c>
      <c r="AG8" s="37" t="s">
        <v>44</v>
      </c>
      <c r="AH8" s="24" t="s">
        <v>45</v>
      </c>
      <c r="AI8" s="25" t="s">
        <v>43</v>
      </c>
      <c r="AJ8" s="37" t="s">
        <v>44</v>
      </c>
      <c r="AK8" s="24" t="s">
        <v>45</v>
      </c>
    </row>
    <row r="9" spans="1:39" ht="20.100000000000001" customHeight="1">
      <c r="A9" s="14" t="s">
        <v>47</v>
      </c>
      <c r="B9" s="26">
        <v>248</v>
      </c>
      <c r="C9" s="38">
        <v>79</v>
      </c>
      <c r="D9" s="28">
        <v>142</v>
      </c>
      <c r="E9" s="26">
        <v>228</v>
      </c>
      <c r="F9" s="38">
        <v>123</v>
      </c>
      <c r="G9" s="28">
        <v>166</v>
      </c>
      <c r="H9" s="26">
        <v>339</v>
      </c>
      <c r="I9" s="38">
        <v>170</v>
      </c>
      <c r="J9" s="28">
        <v>180</v>
      </c>
      <c r="K9" s="26"/>
      <c r="L9" s="38"/>
      <c r="M9" s="28"/>
      <c r="N9" s="26"/>
      <c r="O9" s="38"/>
      <c r="P9" s="28"/>
      <c r="Q9" s="26"/>
      <c r="R9" s="38"/>
      <c r="S9" s="28"/>
      <c r="T9" s="26"/>
      <c r="U9" s="38"/>
      <c r="V9" s="28"/>
      <c r="W9" s="26"/>
      <c r="X9" s="38"/>
      <c r="Y9" s="28"/>
      <c r="Z9" s="26"/>
      <c r="AA9" s="38"/>
      <c r="AB9" s="28"/>
      <c r="AC9" s="26"/>
      <c r="AD9" s="38"/>
      <c r="AE9" s="28"/>
      <c r="AF9" s="26"/>
      <c r="AG9" s="38"/>
      <c r="AH9" s="28"/>
      <c r="AI9" s="26"/>
      <c r="AJ9" s="38"/>
      <c r="AK9" s="28"/>
    </row>
    <row r="10" spans="1:39" ht="20.100000000000001" customHeight="1">
      <c r="A10" s="15" t="s">
        <v>48</v>
      </c>
      <c r="B10" s="27">
        <v>11</v>
      </c>
      <c r="C10" s="39">
        <v>4</v>
      </c>
      <c r="D10" s="29">
        <v>2</v>
      </c>
      <c r="E10" s="27">
        <v>2</v>
      </c>
      <c r="F10" s="39">
        <v>1</v>
      </c>
      <c r="G10" s="29">
        <v>6</v>
      </c>
      <c r="H10" s="27">
        <v>10</v>
      </c>
      <c r="I10" s="39">
        <v>1</v>
      </c>
      <c r="J10" s="29">
        <v>5</v>
      </c>
      <c r="K10" s="27"/>
      <c r="L10" s="39"/>
      <c r="M10" s="29"/>
      <c r="N10" s="27"/>
      <c r="O10" s="39"/>
      <c r="P10" s="29"/>
      <c r="Q10" s="27"/>
      <c r="R10" s="39"/>
      <c r="S10" s="29"/>
      <c r="T10" s="27"/>
      <c r="U10" s="39"/>
      <c r="V10" s="29"/>
      <c r="W10" s="27"/>
      <c r="X10" s="39"/>
      <c r="Y10" s="29"/>
      <c r="Z10" s="27"/>
      <c r="AA10" s="39"/>
      <c r="AB10" s="29"/>
      <c r="AC10" s="27"/>
      <c r="AD10" s="39"/>
      <c r="AE10" s="29"/>
      <c r="AF10" s="27"/>
      <c r="AG10" s="39"/>
      <c r="AH10" s="29"/>
      <c r="AI10" s="27"/>
      <c r="AJ10" s="39"/>
      <c r="AK10" s="29"/>
    </row>
    <row r="11" spans="1:39" ht="20.100000000000001" customHeight="1">
      <c r="A11" s="15" t="s">
        <v>49</v>
      </c>
      <c r="B11" s="486">
        <f>IF(B9=0,0,IF(B10=0,0,(B10/B9)))</f>
        <v>4.4354838709677422E-2</v>
      </c>
      <c r="C11" s="487">
        <f t="shared" ref="C11:H11" si="0">IF(C10=0,0,IF(C9=0,0,C10/C9))</f>
        <v>5.0632911392405063E-2</v>
      </c>
      <c r="D11" s="488">
        <f t="shared" si="0"/>
        <v>1.4084507042253521E-2</v>
      </c>
      <c r="E11" s="486">
        <f t="shared" si="0"/>
        <v>8.771929824561403E-3</v>
      </c>
      <c r="F11" s="487">
        <f t="shared" si="0"/>
        <v>8.130081300813009E-3</v>
      </c>
      <c r="G11" s="488">
        <f t="shared" si="0"/>
        <v>3.614457831325301E-2</v>
      </c>
      <c r="H11" s="486">
        <f t="shared" si="0"/>
        <v>2.9498525073746312E-2</v>
      </c>
      <c r="I11" s="487">
        <f t="shared" ref="I11:AK11" si="1">IF(I10=0,0,IF(I9=0,0,I10/I9))</f>
        <v>5.8823529411764705E-3</v>
      </c>
      <c r="J11" s="488">
        <f t="shared" si="1"/>
        <v>2.7777777777777776E-2</v>
      </c>
      <c r="K11" s="486">
        <f t="shared" si="1"/>
        <v>0</v>
      </c>
      <c r="L11" s="487">
        <f t="shared" si="1"/>
        <v>0</v>
      </c>
      <c r="M11" s="488">
        <f t="shared" si="1"/>
        <v>0</v>
      </c>
      <c r="N11" s="486">
        <f t="shared" si="1"/>
        <v>0</v>
      </c>
      <c r="O11" s="487">
        <f t="shared" si="1"/>
        <v>0</v>
      </c>
      <c r="P11" s="488">
        <f t="shared" si="1"/>
        <v>0</v>
      </c>
      <c r="Q11" s="486">
        <f t="shared" si="1"/>
        <v>0</v>
      </c>
      <c r="R11" s="487">
        <f t="shared" si="1"/>
        <v>0</v>
      </c>
      <c r="S11" s="488">
        <f t="shared" si="1"/>
        <v>0</v>
      </c>
      <c r="T11" s="486">
        <f t="shared" si="1"/>
        <v>0</v>
      </c>
      <c r="U11" s="487">
        <f t="shared" si="1"/>
        <v>0</v>
      </c>
      <c r="V11" s="488">
        <f t="shared" si="1"/>
        <v>0</v>
      </c>
      <c r="W11" s="486">
        <f t="shared" si="1"/>
        <v>0</v>
      </c>
      <c r="X11" s="487">
        <f t="shared" si="1"/>
        <v>0</v>
      </c>
      <c r="Y11" s="488">
        <f t="shared" si="1"/>
        <v>0</v>
      </c>
      <c r="Z11" s="486">
        <f t="shared" si="1"/>
        <v>0</v>
      </c>
      <c r="AA11" s="487">
        <f t="shared" si="1"/>
        <v>0</v>
      </c>
      <c r="AB11" s="488">
        <f t="shared" si="1"/>
        <v>0</v>
      </c>
      <c r="AC11" s="486">
        <f t="shared" si="1"/>
        <v>0</v>
      </c>
      <c r="AD11" s="487">
        <f t="shared" si="1"/>
        <v>0</v>
      </c>
      <c r="AE11" s="488">
        <f t="shared" si="1"/>
        <v>0</v>
      </c>
      <c r="AF11" s="486">
        <f t="shared" si="1"/>
        <v>0</v>
      </c>
      <c r="AG11" s="487">
        <f t="shared" si="1"/>
        <v>0</v>
      </c>
      <c r="AH11" s="488">
        <f t="shared" si="1"/>
        <v>0</v>
      </c>
      <c r="AI11" s="486">
        <f t="shared" si="1"/>
        <v>0</v>
      </c>
      <c r="AJ11" s="487">
        <f t="shared" si="1"/>
        <v>0</v>
      </c>
      <c r="AK11" s="488">
        <f t="shared" si="1"/>
        <v>0</v>
      </c>
    </row>
    <row r="12" spans="1:39" ht="20.100000000000001" customHeight="1">
      <c r="A12" s="15" t="s">
        <v>50</v>
      </c>
      <c r="B12" s="27">
        <v>44</v>
      </c>
      <c r="C12" s="39">
        <v>11</v>
      </c>
      <c r="D12" s="29">
        <v>29</v>
      </c>
      <c r="E12" s="27">
        <v>47</v>
      </c>
      <c r="F12" s="39">
        <v>12</v>
      </c>
      <c r="G12" s="720">
        <v>25</v>
      </c>
      <c r="H12" s="27">
        <v>73</v>
      </c>
      <c r="I12" s="39">
        <v>54</v>
      </c>
      <c r="J12" s="29">
        <v>42</v>
      </c>
      <c r="K12" s="27"/>
      <c r="L12" s="39"/>
      <c r="M12" s="29"/>
      <c r="N12" s="27"/>
      <c r="O12" s="39"/>
      <c r="P12" s="29"/>
      <c r="Q12" s="27"/>
      <c r="R12" s="39"/>
      <c r="S12" s="29"/>
      <c r="T12" s="27"/>
      <c r="U12" s="39"/>
      <c r="V12" s="29"/>
      <c r="W12" s="27"/>
      <c r="X12" s="39"/>
      <c r="Y12" s="29"/>
      <c r="Z12" s="27"/>
      <c r="AA12" s="39"/>
      <c r="AB12" s="29"/>
      <c r="AC12" s="27"/>
      <c r="AD12" s="39"/>
      <c r="AE12" s="29"/>
      <c r="AF12" s="27"/>
      <c r="AG12" s="39"/>
      <c r="AH12" s="29"/>
      <c r="AI12" s="27"/>
      <c r="AJ12" s="39"/>
      <c r="AK12" s="29"/>
    </row>
    <row r="13" spans="1:39" ht="20.100000000000001" customHeight="1">
      <c r="A13" s="15" t="s">
        <v>51</v>
      </c>
      <c r="B13" s="27">
        <v>0</v>
      </c>
      <c r="C13" s="39">
        <v>0</v>
      </c>
      <c r="D13" s="29">
        <v>1</v>
      </c>
      <c r="E13" s="27">
        <v>0</v>
      </c>
      <c r="F13" s="39">
        <v>0</v>
      </c>
      <c r="G13" s="29">
        <v>0</v>
      </c>
      <c r="H13" s="27">
        <v>1</v>
      </c>
      <c r="I13" s="39">
        <v>2</v>
      </c>
      <c r="J13" s="29">
        <v>0</v>
      </c>
      <c r="K13" s="27"/>
      <c r="L13" s="39"/>
      <c r="M13" s="29"/>
      <c r="N13" s="27"/>
      <c r="O13" s="39"/>
      <c r="P13" s="29"/>
      <c r="Q13" s="27"/>
      <c r="R13" s="39"/>
      <c r="S13" s="29"/>
      <c r="T13" s="27"/>
      <c r="U13" s="39"/>
      <c r="V13" s="29"/>
      <c r="W13" s="27"/>
      <c r="X13" s="39"/>
      <c r="Y13" s="29"/>
      <c r="Z13" s="27"/>
      <c r="AA13" s="39"/>
      <c r="AB13" s="29"/>
      <c r="AC13" s="27"/>
      <c r="AD13" s="39"/>
      <c r="AE13" s="29"/>
      <c r="AF13" s="27"/>
      <c r="AG13" s="39"/>
      <c r="AH13" s="29"/>
      <c r="AI13" s="27"/>
      <c r="AJ13" s="39"/>
      <c r="AK13" s="29"/>
    </row>
    <row r="14" spans="1:39" ht="20.100000000000001" customHeight="1">
      <c r="A14" s="15" t="s">
        <v>52</v>
      </c>
      <c r="B14" s="27">
        <v>8</v>
      </c>
      <c r="C14" s="39">
        <v>1</v>
      </c>
      <c r="D14" s="29">
        <v>0</v>
      </c>
      <c r="E14" s="27">
        <v>0</v>
      </c>
      <c r="F14" s="39">
        <v>0</v>
      </c>
      <c r="G14" s="29">
        <v>0</v>
      </c>
      <c r="H14" s="27">
        <v>0</v>
      </c>
      <c r="I14" s="39">
        <v>0</v>
      </c>
      <c r="J14" s="29">
        <v>2</v>
      </c>
      <c r="K14" s="27"/>
      <c r="L14" s="39"/>
      <c r="M14" s="29"/>
      <c r="N14" s="27"/>
      <c r="O14" s="39"/>
      <c r="P14" s="29"/>
      <c r="Q14" s="27"/>
      <c r="R14" s="39"/>
      <c r="S14" s="29"/>
      <c r="T14" s="27"/>
      <c r="U14" s="39"/>
      <c r="V14" s="29"/>
      <c r="W14" s="27"/>
      <c r="X14" s="39"/>
      <c r="Y14" s="29"/>
      <c r="Z14" s="27"/>
      <c r="AA14" s="39"/>
      <c r="AB14" s="29"/>
      <c r="AC14" s="27"/>
      <c r="AD14" s="39"/>
      <c r="AE14" s="29"/>
      <c r="AF14" s="27"/>
      <c r="AG14" s="39"/>
      <c r="AH14" s="29"/>
      <c r="AI14" s="27"/>
      <c r="AJ14" s="39"/>
      <c r="AK14" s="29"/>
    </row>
    <row r="15" spans="1:39" ht="20.100000000000001" customHeight="1">
      <c r="A15" s="15" t="s">
        <v>53</v>
      </c>
      <c r="B15" s="27">
        <v>0</v>
      </c>
      <c r="C15" s="39">
        <v>0</v>
      </c>
      <c r="D15" s="29">
        <v>0</v>
      </c>
      <c r="E15" s="27">
        <v>0</v>
      </c>
      <c r="F15" s="39">
        <v>0</v>
      </c>
      <c r="G15" s="29">
        <v>0</v>
      </c>
      <c r="H15" s="27">
        <v>0</v>
      </c>
      <c r="I15" s="39">
        <v>0</v>
      </c>
      <c r="J15" s="29">
        <v>0</v>
      </c>
      <c r="K15" s="27"/>
      <c r="L15" s="39"/>
      <c r="M15" s="29"/>
      <c r="N15" s="27"/>
      <c r="O15" s="39"/>
      <c r="P15" s="29"/>
      <c r="Q15" s="27"/>
      <c r="R15" s="39"/>
      <c r="S15" s="29"/>
      <c r="T15" s="27"/>
      <c r="U15" s="39"/>
      <c r="V15" s="29"/>
      <c r="W15" s="27"/>
      <c r="X15" s="39"/>
      <c r="Y15" s="29"/>
      <c r="Z15" s="27"/>
      <c r="AA15" s="39"/>
      <c r="AB15" s="29"/>
      <c r="AC15" s="27"/>
      <c r="AD15" s="39"/>
      <c r="AE15" s="29"/>
      <c r="AF15" s="27"/>
      <c r="AG15" s="39"/>
      <c r="AH15" s="29"/>
      <c r="AI15" s="27"/>
      <c r="AJ15" s="39"/>
      <c r="AK15" s="29"/>
    </row>
    <row r="16" spans="1:39" ht="9" customHeight="1">
      <c r="A16" s="15"/>
      <c r="B16" s="21"/>
      <c r="C16" s="22"/>
      <c r="D16" s="23"/>
      <c r="E16" s="21"/>
      <c r="F16" s="22"/>
      <c r="G16" s="23"/>
      <c r="H16" s="21"/>
      <c r="I16" s="22"/>
      <c r="J16" s="23"/>
      <c r="K16" s="21"/>
      <c r="L16" s="22"/>
      <c r="M16" s="23"/>
      <c r="N16" s="21"/>
      <c r="O16" s="22"/>
      <c r="P16" s="23"/>
      <c r="Q16" s="21"/>
      <c r="R16" s="22"/>
      <c r="S16" s="23"/>
      <c r="T16" s="21"/>
      <c r="U16" s="22"/>
      <c r="V16" s="23"/>
      <c r="W16" s="21"/>
      <c r="X16" s="22"/>
      <c r="Y16" s="23"/>
      <c r="Z16" s="21"/>
      <c r="AA16" s="22"/>
      <c r="AB16" s="23"/>
      <c r="AC16" s="21"/>
      <c r="AD16" s="22"/>
      <c r="AE16" s="23"/>
      <c r="AF16" s="21"/>
      <c r="AG16" s="22"/>
      <c r="AH16" s="23"/>
      <c r="AI16" s="21"/>
      <c r="AJ16" s="22"/>
      <c r="AK16" s="23"/>
      <c r="AL16" s="7"/>
      <c r="AM16" s="7"/>
    </row>
    <row r="17" spans="1:37" ht="20.100000000000001" customHeight="1">
      <c r="A17" s="15" t="s">
        <v>28</v>
      </c>
      <c r="B17" s="27">
        <v>104</v>
      </c>
      <c r="C17" s="39">
        <v>33</v>
      </c>
      <c r="D17" s="29">
        <v>41</v>
      </c>
      <c r="E17" s="27">
        <v>98</v>
      </c>
      <c r="F17" s="39">
        <v>40</v>
      </c>
      <c r="G17" s="29">
        <v>48</v>
      </c>
      <c r="H17" s="27">
        <v>118</v>
      </c>
      <c r="I17" s="39">
        <v>46</v>
      </c>
      <c r="J17" s="29">
        <v>53</v>
      </c>
      <c r="K17" s="27"/>
      <c r="L17" s="39"/>
      <c r="M17" s="29"/>
      <c r="N17" s="27"/>
      <c r="O17" s="39"/>
      <c r="P17" s="29"/>
      <c r="Q17" s="27"/>
      <c r="R17" s="39"/>
      <c r="S17" s="29"/>
      <c r="T17" s="27"/>
      <c r="U17" s="39"/>
      <c r="V17" s="29"/>
      <c r="W17" s="27"/>
      <c r="X17" s="39"/>
      <c r="Y17" s="29"/>
      <c r="Z17" s="27"/>
      <c r="AA17" s="39"/>
      <c r="AB17" s="29"/>
      <c r="AC17" s="27"/>
      <c r="AD17" s="39"/>
      <c r="AE17" s="29"/>
      <c r="AF17" s="27"/>
      <c r="AG17" s="39"/>
      <c r="AH17" s="29"/>
      <c r="AI17" s="27"/>
      <c r="AJ17" s="39"/>
      <c r="AK17" s="29"/>
    </row>
    <row r="18" spans="1:37" ht="20.100000000000001" customHeight="1">
      <c r="A18" s="15" t="s">
        <v>21</v>
      </c>
      <c r="B18" s="27">
        <v>105</v>
      </c>
      <c r="C18" s="39">
        <v>37</v>
      </c>
      <c r="D18" s="29">
        <v>56</v>
      </c>
      <c r="E18" s="27">
        <v>103</v>
      </c>
      <c r="F18" s="39">
        <v>69</v>
      </c>
      <c r="G18" s="29">
        <v>49</v>
      </c>
      <c r="H18" s="27">
        <v>136</v>
      </c>
      <c r="I18" s="39">
        <v>106</v>
      </c>
      <c r="J18" s="29">
        <v>70</v>
      </c>
      <c r="K18" s="27"/>
      <c r="L18" s="39"/>
      <c r="M18" s="29"/>
      <c r="N18" s="27"/>
      <c r="O18" s="39"/>
      <c r="P18" s="29"/>
      <c r="Q18" s="27"/>
      <c r="R18" s="39"/>
      <c r="S18" s="29"/>
      <c r="T18" s="27"/>
      <c r="U18" s="39"/>
      <c r="V18" s="29"/>
      <c r="W18" s="27"/>
      <c r="X18" s="39"/>
      <c r="Y18" s="29"/>
      <c r="Z18" s="27"/>
      <c r="AA18" s="39"/>
      <c r="AB18" s="29"/>
      <c r="AC18" s="27"/>
      <c r="AD18" s="39"/>
      <c r="AE18" s="29"/>
      <c r="AF18" s="27"/>
      <c r="AG18" s="39"/>
      <c r="AH18" s="29"/>
      <c r="AI18" s="27"/>
      <c r="AJ18" s="39"/>
      <c r="AK18" s="29"/>
    </row>
    <row r="19" spans="1:37" ht="20.100000000000001" customHeight="1">
      <c r="A19" s="15" t="s">
        <v>6</v>
      </c>
      <c r="B19" s="27">
        <v>0</v>
      </c>
      <c r="C19" s="39">
        <v>0</v>
      </c>
      <c r="D19" s="29">
        <v>25</v>
      </c>
      <c r="E19" s="27">
        <v>0</v>
      </c>
      <c r="F19" s="39">
        <v>0</v>
      </c>
      <c r="G19" s="29">
        <v>23</v>
      </c>
      <c r="H19" s="27">
        <v>0</v>
      </c>
      <c r="I19" s="39">
        <v>0</v>
      </c>
      <c r="J19" s="29">
        <v>30</v>
      </c>
      <c r="K19" s="27"/>
      <c r="L19" s="39"/>
      <c r="M19" s="29"/>
      <c r="N19" s="27"/>
      <c r="O19" s="39"/>
      <c r="P19" s="29"/>
      <c r="Q19" s="27"/>
      <c r="R19" s="39"/>
      <c r="S19" s="29"/>
      <c r="T19" s="27"/>
      <c r="U19" s="39"/>
      <c r="V19" s="29"/>
      <c r="W19" s="27"/>
      <c r="X19" s="39"/>
      <c r="Y19" s="29"/>
      <c r="Z19" s="27"/>
      <c r="AA19" s="39"/>
      <c r="AB19" s="29"/>
      <c r="AC19" s="27"/>
      <c r="AD19" s="39"/>
      <c r="AE19" s="29"/>
      <c r="AF19" s="27"/>
      <c r="AG19" s="39"/>
      <c r="AH19" s="29"/>
      <c r="AI19" s="27"/>
      <c r="AJ19" s="39"/>
      <c r="AK19" s="29"/>
    </row>
    <row r="20" spans="1:37" ht="20.100000000000001" customHeight="1">
      <c r="A20" s="30" t="s">
        <v>41</v>
      </c>
      <c r="B20" s="31">
        <v>39</v>
      </c>
      <c r="C20" s="40">
        <v>9</v>
      </c>
      <c r="D20" s="32">
        <v>14</v>
      </c>
      <c r="E20" s="31">
        <v>27</v>
      </c>
      <c r="F20" s="40">
        <v>13</v>
      </c>
      <c r="G20" s="32">
        <v>42</v>
      </c>
      <c r="H20" s="31">
        <v>85</v>
      </c>
      <c r="I20" s="40">
        <v>18</v>
      </c>
      <c r="J20" s="32">
        <v>21</v>
      </c>
      <c r="K20" s="31"/>
      <c r="L20" s="40"/>
      <c r="M20" s="32"/>
      <c r="N20" s="31"/>
      <c r="O20" s="40"/>
      <c r="P20" s="32"/>
      <c r="Q20" s="31"/>
      <c r="R20" s="40"/>
      <c r="S20" s="32"/>
      <c r="T20" s="31"/>
      <c r="U20" s="40"/>
      <c r="V20" s="32"/>
      <c r="W20" s="31"/>
      <c r="X20" s="40"/>
      <c r="Y20" s="32"/>
      <c r="Z20" s="31"/>
      <c r="AA20" s="40"/>
      <c r="AB20" s="32"/>
      <c r="AC20" s="31"/>
      <c r="AD20" s="40"/>
      <c r="AE20" s="32"/>
      <c r="AF20" s="31"/>
      <c r="AG20" s="40"/>
      <c r="AH20" s="32"/>
      <c r="AI20" s="31"/>
      <c r="AJ20" s="40"/>
      <c r="AK20" s="32"/>
    </row>
    <row r="21" spans="1:37" ht="20.100000000000001" customHeight="1">
      <c r="A21" s="92" t="s">
        <v>54</v>
      </c>
      <c r="B21" s="94">
        <v>0</v>
      </c>
      <c r="C21" s="95">
        <v>0</v>
      </c>
      <c r="D21" s="96">
        <v>6</v>
      </c>
      <c r="E21" s="94">
        <v>0</v>
      </c>
      <c r="F21" s="95">
        <v>1</v>
      </c>
      <c r="G21" s="96">
        <v>4</v>
      </c>
      <c r="H21" s="94">
        <v>0</v>
      </c>
      <c r="I21" s="95">
        <v>0</v>
      </c>
      <c r="J21" s="96">
        <v>6</v>
      </c>
      <c r="K21" s="94"/>
      <c r="L21" s="95"/>
      <c r="M21" s="96"/>
      <c r="N21" s="94"/>
      <c r="O21" s="95"/>
      <c r="P21" s="96"/>
      <c r="Q21" s="94"/>
      <c r="R21" s="95"/>
      <c r="S21" s="96"/>
      <c r="T21" s="94"/>
      <c r="U21" s="95"/>
      <c r="V21" s="96"/>
      <c r="W21" s="94"/>
      <c r="X21" s="95"/>
      <c r="Y21" s="96"/>
      <c r="Z21" s="94"/>
      <c r="AA21" s="95"/>
      <c r="AB21" s="96"/>
      <c r="AC21" s="94"/>
      <c r="AD21" s="95"/>
      <c r="AE21" s="96"/>
      <c r="AF21" s="94"/>
      <c r="AG21" s="95"/>
      <c r="AH21" s="96"/>
      <c r="AI21" s="94"/>
      <c r="AJ21" s="95"/>
      <c r="AK21" s="96"/>
    </row>
    <row r="22" spans="1:37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>
      <c r="A25" s="93" t="s">
        <v>92</v>
      </c>
      <c r="B25" s="25" t="s">
        <v>43</v>
      </c>
      <c r="C25" s="37" t="s">
        <v>44</v>
      </c>
      <c r="D25" s="24" t="s">
        <v>45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1:37">
      <c r="A26" s="14" t="s">
        <v>47</v>
      </c>
      <c r="B26" s="11">
        <f t="shared" ref="B26:D27" si="2">B9+E9+H9+K9+N9+Q9+T9+W9+Z9+AC9+AF9+AI9</f>
        <v>815</v>
      </c>
      <c r="C26" s="11">
        <f t="shared" si="2"/>
        <v>372</v>
      </c>
      <c r="D26" s="66">
        <f t="shared" si="2"/>
        <v>488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>
      <c r="A27" s="15" t="s">
        <v>48</v>
      </c>
      <c r="B27" s="11">
        <f t="shared" si="2"/>
        <v>23</v>
      </c>
      <c r="C27" s="11">
        <f t="shared" si="2"/>
        <v>6</v>
      </c>
      <c r="D27" s="66">
        <f t="shared" si="2"/>
        <v>13</v>
      </c>
    </row>
    <row r="28" spans="1:37">
      <c r="A28" s="92" t="s">
        <v>51</v>
      </c>
      <c r="B28" s="6">
        <f>B13+E13+H13+K13+N13+Q13+T13+W13+Z13+AC13+AF13+AI13</f>
        <v>1</v>
      </c>
      <c r="C28" s="6">
        <f>C13+F13+I13+L13+O13+R13+U13+X13+AA13+AD13+AG13+AJ13</f>
        <v>2</v>
      </c>
      <c r="D28" s="4">
        <f>D13+G13+J13+M13+P13+S13+V13+Y13+AB13+AE13+AH13+AK13</f>
        <v>1</v>
      </c>
    </row>
    <row r="32" spans="1:37">
      <c r="A32" t="s">
        <v>1914</v>
      </c>
    </row>
  </sheetData>
  <mergeCells count="15">
    <mergeCell ref="A1:AK2"/>
    <mergeCell ref="AF7:AH7"/>
    <mergeCell ref="AI7:AK7"/>
    <mergeCell ref="E7:G7"/>
    <mergeCell ref="H7:J7"/>
    <mergeCell ref="K7:M7"/>
    <mergeCell ref="N7:P7"/>
    <mergeCell ref="Q7:S7"/>
    <mergeCell ref="T7:V7"/>
    <mergeCell ref="W7:Y7"/>
    <mergeCell ref="A5:A6"/>
    <mergeCell ref="A7:A8"/>
    <mergeCell ref="B7:D7"/>
    <mergeCell ref="Z7:AB7"/>
    <mergeCell ref="AC7:AE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2" tint="-0.499984740745262"/>
  </sheetPr>
  <dimension ref="A1"/>
  <sheetViews>
    <sheetView topLeftCell="A10" zoomScale="70" zoomScaleNormal="70" workbookViewId="0">
      <selection activeCell="N61" sqref="N61"/>
    </sheetView>
  </sheetViews>
  <sheetFormatPr baseColWidth="10" defaultRowHeight="15"/>
  <cols>
    <col min="1" max="1" width="19.42578125" customWidth="1"/>
    <col min="2" max="37" width="8.28515625" customWidth="1"/>
  </cols>
  <sheetData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00B050"/>
  </sheetPr>
  <dimension ref="A2:Q197"/>
  <sheetViews>
    <sheetView zoomScaleNormal="100" workbookViewId="0">
      <selection activeCell="I187" sqref="I187"/>
    </sheetView>
  </sheetViews>
  <sheetFormatPr baseColWidth="10" defaultRowHeight="15"/>
  <cols>
    <col min="1" max="1" width="18.42578125" customWidth="1"/>
    <col min="2" max="2" width="20" customWidth="1"/>
    <col min="3" max="3" width="12.7109375" customWidth="1"/>
    <col min="4" max="4" width="27.5703125" customWidth="1"/>
    <col min="5" max="17" width="11.7109375" customWidth="1"/>
  </cols>
  <sheetData>
    <row r="2" spans="1:17">
      <c r="A2" s="10"/>
      <c r="B2" s="10"/>
      <c r="C2" s="10"/>
    </row>
    <row r="3" spans="1:17" ht="21">
      <c r="A3" s="43" t="s">
        <v>90</v>
      </c>
      <c r="B3" s="43" t="s">
        <v>76</v>
      </c>
      <c r="C3" s="522" t="s">
        <v>2021</v>
      </c>
      <c r="D3" s="46" t="s">
        <v>77</v>
      </c>
      <c r="E3" s="44" t="s">
        <v>29</v>
      </c>
      <c r="F3" s="44" t="s">
        <v>30</v>
      </c>
      <c r="G3" s="44" t="s">
        <v>31</v>
      </c>
      <c r="H3" s="44" t="s">
        <v>32</v>
      </c>
      <c r="I3" s="44" t="s">
        <v>33</v>
      </c>
      <c r="J3" s="44" t="s">
        <v>34</v>
      </c>
      <c r="K3" s="44" t="s">
        <v>35</v>
      </c>
      <c r="L3" s="44" t="s">
        <v>65</v>
      </c>
      <c r="M3" s="44" t="s">
        <v>37</v>
      </c>
      <c r="N3" s="44" t="s">
        <v>38</v>
      </c>
      <c r="O3" s="44" t="s">
        <v>39</v>
      </c>
      <c r="P3" s="44" t="s">
        <v>40</v>
      </c>
      <c r="Q3" s="45" t="s">
        <v>4</v>
      </c>
    </row>
    <row r="4" spans="1:17" ht="15" customHeight="1" thickBot="1">
      <c r="A4" s="524"/>
      <c r="B4" s="524"/>
      <c r="C4" s="525"/>
      <c r="D4" s="526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8"/>
    </row>
    <row r="5" spans="1:17">
      <c r="A5" s="529" t="s">
        <v>43</v>
      </c>
      <c r="B5" s="530" t="s">
        <v>74</v>
      </c>
      <c r="C5" s="531"/>
      <c r="D5" s="532"/>
      <c r="E5" s="533" t="s">
        <v>29</v>
      </c>
      <c r="F5" s="533" t="s">
        <v>30</v>
      </c>
      <c r="G5" s="533" t="s">
        <v>31</v>
      </c>
      <c r="H5" s="533" t="s">
        <v>32</v>
      </c>
      <c r="I5" s="533" t="s">
        <v>33</v>
      </c>
      <c r="J5" s="533" t="s">
        <v>34</v>
      </c>
      <c r="K5" s="533" t="s">
        <v>35</v>
      </c>
      <c r="L5" s="533" t="s">
        <v>65</v>
      </c>
      <c r="M5" s="533" t="s">
        <v>37</v>
      </c>
      <c r="N5" s="533" t="s">
        <v>38</v>
      </c>
      <c r="O5" s="533" t="s">
        <v>39</v>
      </c>
      <c r="P5" s="534" t="s">
        <v>40</v>
      </c>
      <c r="Q5" s="535" t="s">
        <v>4</v>
      </c>
    </row>
    <row r="6" spans="1:17">
      <c r="A6" s="536" t="s">
        <v>43</v>
      </c>
      <c r="B6" s="514" t="s">
        <v>74</v>
      </c>
      <c r="C6" s="502"/>
      <c r="D6" s="41" t="s">
        <v>66</v>
      </c>
      <c r="E6" s="55">
        <v>0</v>
      </c>
      <c r="F6" s="55">
        <v>0</v>
      </c>
      <c r="G6" s="55">
        <v>0</v>
      </c>
      <c r="H6" s="55"/>
      <c r="I6" s="55"/>
      <c r="J6" s="55"/>
      <c r="K6" s="55"/>
      <c r="L6" s="55"/>
      <c r="M6" s="55"/>
      <c r="N6" s="55"/>
      <c r="O6" s="55"/>
      <c r="P6" s="56"/>
      <c r="Q6" s="537">
        <f>SUM(Tableau3[[#This Row],[Janvier]:[Décembre]])</f>
        <v>0</v>
      </c>
    </row>
    <row r="7" spans="1:17">
      <c r="A7" s="536" t="s">
        <v>43</v>
      </c>
      <c r="B7" s="514" t="s">
        <v>74</v>
      </c>
      <c r="C7" s="48"/>
      <c r="D7" s="37" t="s">
        <v>67</v>
      </c>
      <c r="E7" s="99">
        <v>1091</v>
      </c>
      <c r="F7" s="99">
        <v>627</v>
      </c>
      <c r="G7" s="99">
        <v>0</v>
      </c>
      <c r="H7" s="99"/>
      <c r="I7" s="99"/>
      <c r="J7" s="99"/>
      <c r="K7" s="99"/>
      <c r="L7" s="99"/>
      <c r="M7" s="99"/>
      <c r="N7" s="99"/>
      <c r="O7" s="99"/>
      <c r="P7" s="99"/>
      <c r="Q7" s="538">
        <f>SUM(Tableau3[[#This Row],[Janvier]:[Décembre]])</f>
        <v>1718</v>
      </c>
    </row>
    <row r="8" spans="1:17">
      <c r="A8" s="536" t="s">
        <v>43</v>
      </c>
      <c r="B8" s="514" t="s">
        <v>74</v>
      </c>
      <c r="C8" s="503" t="s">
        <v>2024</v>
      </c>
      <c r="D8" s="506" t="s">
        <v>2018</v>
      </c>
      <c r="E8" s="499">
        <f t="shared" ref="E8:P8" si="0">E6+E7</f>
        <v>1091</v>
      </c>
      <c r="F8" s="499">
        <f t="shared" si="0"/>
        <v>627</v>
      </c>
      <c r="G8" s="499">
        <f t="shared" si="0"/>
        <v>0</v>
      </c>
      <c r="H8" s="499">
        <f t="shared" si="0"/>
        <v>0</v>
      </c>
      <c r="I8" s="499">
        <f t="shared" si="0"/>
        <v>0</v>
      </c>
      <c r="J8" s="499">
        <f t="shared" si="0"/>
        <v>0</v>
      </c>
      <c r="K8" s="499">
        <f t="shared" si="0"/>
        <v>0</v>
      </c>
      <c r="L8" s="499">
        <f t="shared" si="0"/>
        <v>0</v>
      </c>
      <c r="M8" s="499">
        <f t="shared" si="0"/>
        <v>0</v>
      </c>
      <c r="N8" s="499">
        <f t="shared" si="0"/>
        <v>0</v>
      </c>
      <c r="O8" s="499">
        <f t="shared" si="0"/>
        <v>0</v>
      </c>
      <c r="P8" s="499">
        <f t="shared" si="0"/>
        <v>0</v>
      </c>
      <c r="Q8" s="539">
        <f>Tableau3[[#This Row],[Décembre]]+Q6+Q7</f>
        <v>1718</v>
      </c>
    </row>
    <row r="9" spans="1:17">
      <c r="A9" s="536" t="s">
        <v>43</v>
      </c>
      <c r="B9" s="514" t="s">
        <v>74</v>
      </c>
      <c r="C9" s="176"/>
      <c r="D9" s="90" t="s">
        <v>86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540">
        <f>SUM(Tableau3[[#This Row],[Janvier]:[Décembre]])</f>
        <v>0</v>
      </c>
    </row>
    <row r="10" spans="1:17">
      <c r="A10" s="536" t="s">
        <v>43</v>
      </c>
      <c r="B10" s="514" t="s">
        <v>74</v>
      </c>
      <c r="C10" s="48"/>
      <c r="D10" s="24" t="s">
        <v>1912</v>
      </c>
      <c r="E10" s="495">
        <v>0</v>
      </c>
      <c r="F10" s="495">
        <v>0</v>
      </c>
      <c r="G10" s="495">
        <v>0</v>
      </c>
      <c r="H10" s="495">
        <v>0</v>
      </c>
      <c r="I10" s="495">
        <v>0</v>
      </c>
      <c r="J10" s="495">
        <v>0</v>
      </c>
      <c r="K10" s="495">
        <v>0</v>
      </c>
      <c r="L10" s="495">
        <v>0</v>
      </c>
      <c r="M10" s="495">
        <v>0</v>
      </c>
      <c r="N10" s="495">
        <v>0</v>
      </c>
      <c r="O10" s="495">
        <v>0</v>
      </c>
      <c r="P10" s="495">
        <v>0</v>
      </c>
      <c r="Q10" s="541">
        <f>SUM(Tableau3[[#This Row],[Janvier]:[Décembre]])</f>
        <v>0</v>
      </c>
    </row>
    <row r="11" spans="1:17">
      <c r="A11" s="536" t="s">
        <v>43</v>
      </c>
      <c r="B11" s="514" t="s">
        <v>74</v>
      </c>
      <c r="C11" s="502"/>
      <c r="D11" s="516" t="s">
        <v>2025</v>
      </c>
      <c r="E11" s="496">
        <f>E6</f>
        <v>0</v>
      </c>
      <c r="F11" s="496">
        <f>F6+Tableau3[[#This Row],[Janvier]]</f>
        <v>0</v>
      </c>
      <c r="G11" s="496">
        <f>G6+Tableau3[[#This Row],[Février]]</f>
        <v>0</v>
      </c>
      <c r="H11" s="496">
        <f>H6+Tableau3[[#This Row],[Mars]]</f>
        <v>0</v>
      </c>
      <c r="I11" s="496">
        <f>I6+Tableau3[[#This Row],[Avril]]</f>
        <v>0</v>
      </c>
      <c r="J11" s="496">
        <f>J6+Tableau3[[#This Row],[Mai]]</f>
        <v>0</v>
      </c>
      <c r="K11" s="496">
        <f>K6+Tableau3[[#This Row],[Juin]]</f>
        <v>0</v>
      </c>
      <c r="L11" s="496">
        <f>L6+Tableau3[[#This Row],[Juillet]]</f>
        <v>0</v>
      </c>
      <c r="M11" s="496">
        <f>M6+Tableau3[[#This Row],[Août]]</f>
        <v>0</v>
      </c>
      <c r="N11" s="496">
        <f>N6+Tableau3[[#This Row],[Septembre]]</f>
        <v>0</v>
      </c>
      <c r="O11" s="496">
        <f>O6+Tableau3[[#This Row],[Octobre]]</f>
        <v>0</v>
      </c>
      <c r="P11" s="496">
        <f>P6+Tableau3[[#This Row],[Novembre]]</f>
        <v>0</v>
      </c>
      <c r="Q11" s="542"/>
    </row>
    <row r="12" spans="1:17">
      <c r="A12" s="536" t="s">
        <v>43</v>
      </c>
      <c r="B12" s="514" t="s">
        <v>74</v>
      </c>
      <c r="C12" s="48"/>
      <c r="D12" s="497" t="s">
        <v>2017</v>
      </c>
      <c r="E12" s="498">
        <f>E7</f>
        <v>1091</v>
      </c>
      <c r="F12" s="498">
        <f>F7+Tableau3[[#This Row],[Janvier]]</f>
        <v>1718</v>
      </c>
      <c r="G12" s="498">
        <f>G7+Tableau3[[#This Row],[Février]]</f>
        <v>1718</v>
      </c>
      <c r="H12" s="498">
        <f>H7+Tableau3[[#This Row],[Mars]]</f>
        <v>1718</v>
      </c>
      <c r="I12" s="498">
        <f>I7+Tableau3[[#This Row],[Avril]]</f>
        <v>1718</v>
      </c>
      <c r="J12" s="498">
        <f>J7+Tableau3[[#This Row],[Mai]]</f>
        <v>1718</v>
      </c>
      <c r="K12" s="498">
        <f>K7+Tableau3[[#This Row],[Juin]]</f>
        <v>1718</v>
      </c>
      <c r="L12" s="498">
        <f>L7+Tableau3[[#This Row],[Juillet]]</f>
        <v>1718</v>
      </c>
      <c r="M12" s="498">
        <f>M7+Tableau3[[#This Row],[Août]]</f>
        <v>1718</v>
      </c>
      <c r="N12" s="498">
        <f>N7+Tableau3[[#This Row],[Septembre]]</f>
        <v>1718</v>
      </c>
      <c r="O12" s="498">
        <f>O7+Tableau3[[#This Row],[Octobre]]</f>
        <v>1718</v>
      </c>
      <c r="P12" s="498">
        <f>P7+Tableau3[[#This Row],[Novembre]]</f>
        <v>1718</v>
      </c>
      <c r="Q12" s="543"/>
    </row>
    <row r="13" spans="1:17">
      <c r="A13" s="536" t="s">
        <v>43</v>
      </c>
      <c r="B13" s="514" t="s">
        <v>74</v>
      </c>
      <c r="C13" s="503" t="s">
        <v>2047</v>
      </c>
      <c r="D13" s="501" t="s">
        <v>95</v>
      </c>
      <c r="E13" s="500">
        <f>E6+E7</f>
        <v>1091</v>
      </c>
      <c r="F13" s="500">
        <f>(F6+F7)+Tableau3[[#This Row],[Janvier]]</f>
        <v>1718</v>
      </c>
      <c r="G13" s="500">
        <f>(G6+G7)+Tableau3[[#This Row],[Février]]</f>
        <v>1718</v>
      </c>
      <c r="H13" s="500">
        <f>(H6+H7)+Tableau3[[#This Row],[Mars]]</f>
        <v>1718</v>
      </c>
      <c r="I13" s="500">
        <f>(I6+I7)+Tableau3[[#This Row],[Avril]]</f>
        <v>1718</v>
      </c>
      <c r="J13" s="500">
        <f>(J6+J7)+Tableau3[[#This Row],[Mai]]</f>
        <v>1718</v>
      </c>
      <c r="K13" s="500">
        <f>(K6+K7)+Tableau3[[#This Row],[Juin]]</f>
        <v>1718</v>
      </c>
      <c r="L13" s="500">
        <f>(L6+L7)+Tableau3[[#This Row],[Juillet]]</f>
        <v>1718</v>
      </c>
      <c r="M13" s="500">
        <f>(M6+M7)+Tableau3[[#This Row],[Août]]</f>
        <v>1718</v>
      </c>
      <c r="N13" s="500">
        <f>(N6+N7)+Tableau3[[#This Row],[Septembre]]</f>
        <v>1718</v>
      </c>
      <c r="O13" s="500">
        <f>(O6+O7)+Tableau3[[#This Row],[Octobre]]</f>
        <v>1718</v>
      </c>
      <c r="P13" s="500">
        <f>(P6+P7)+Tableau3[[#This Row],[Novembre]]</f>
        <v>1718</v>
      </c>
      <c r="Q13" s="544"/>
    </row>
    <row r="14" spans="1:17">
      <c r="A14" s="536" t="s">
        <v>43</v>
      </c>
      <c r="B14" s="514" t="s">
        <v>74</v>
      </c>
      <c r="C14" s="48"/>
      <c r="D14" s="515" t="s">
        <v>2026</v>
      </c>
      <c r="E14" s="523">
        <f>E9</f>
        <v>0</v>
      </c>
      <c r="F14" s="523">
        <f>F9+Tableau3[[#This Row],[Janvier]]</f>
        <v>0</v>
      </c>
      <c r="G14" s="523">
        <f>G9+Tableau3[[#This Row],[Février]]</f>
        <v>0</v>
      </c>
      <c r="H14" s="523">
        <f>H9+Tableau3[[#This Row],[Mars]]</f>
        <v>0</v>
      </c>
      <c r="I14" s="523">
        <f>I9+Tableau3[[#This Row],[Avril]]</f>
        <v>0</v>
      </c>
      <c r="J14" s="523">
        <f>J9+Tableau3[[#This Row],[Mai]]</f>
        <v>0</v>
      </c>
      <c r="K14" s="523">
        <f>K9+Tableau3[[#This Row],[Juin]]</f>
        <v>0</v>
      </c>
      <c r="L14" s="523">
        <f>L9+Tableau3[[#This Row],[Juillet]]</f>
        <v>0</v>
      </c>
      <c r="M14" s="523">
        <f>M9+Tableau3[[#This Row],[Août]]</f>
        <v>0</v>
      </c>
      <c r="N14" s="523">
        <f>N9+Tableau3[[#This Row],[Septembre]]</f>
        <v>0</v>
      </c>
      <c r="O14" s="523">
        <f>O9+Tableau3[[#This Row],[Octobre]]</f>
        <v>0</v>
      </c>
      <c r="P14" s="523">
        <f>P9+Tableau3[[#This Row],[Novembre]]</f>
        <v>0</v>
      </c>
      <c r="Q14" s="545"/>
    </row>
    <row r="15" spans="1:17">
      <c r="A15" s="536" t="s">
        <v>43</v>
      </c>
      <c r="B15" s="514" t="s">
        <v>74</v>
      </c>
      <c r="C15" s="49"/>
      <c r="D15" s="504" t="s">
        <v>2027</v>
      </c>
      <c r="E15" s="505">
        <f>E10</f>
        <v>0</v>
      </c>
      <c r="F15" s="505">
        <f>F10+Tableau3[[#This Row],[Janvier]]</f>
        <v>0</v>
      </c>
      <c r="G15" s="505">
        <f>G10+Tableau3[[#This Row],[Février]]</f>
        <v>0</v>
      </c>
      <c r="H15" s="505">
        <f>H10+Tableau3[[#This Row],[Mars]]</f>
        <v>0</v>
      </c>
      <c r="I15" s="505">
        <f>I10+Tableau3[[#This Row],[Avril]]</f>
        <v>0</v>
      </c>
      <c r="J15" s="505">
        <f>J10+Tableau3[[#This Row],[Mai]]</f>
        <v>0</v>
      </c>
      <c r="K15" s="505">
        <f>K10+Tableau3[[#This Row],[Juin]]</f>
        <v>0</v>
      </c>
      <c r="L15" s="505">
        <f>L10+Tableau3[[#This Row],[Juillet]]</f>
        <v>0</v>
      </c>
      <c r="M15" s="505">
        <f>M10+Tableau3[[#This Row],[Août]]</f>
        <v>0</v>
      </c>
      <c r="N15" s="505">
        <f>N10+Tableau3[[#This Row],[Septembre]]</f>
        <v>0</v>
      </c>
      <c r="O15" s="505">
        <f>O10+Tableau3[[#This Row],[Octobre]]</f>
        <v>0</v>
      </c>
      <c r="P15" s="505">
        <f>P10+Tableau3[[#This Row],[Novembre]]</f>
        <v>0</v>
      </c>
      <c r="Q15" s="546"/>
    </row>
    <row r="16" spans="1:17" ht="15.75" thickBot="1">
      <c r="A16" s="547" t="s">
        <v>43</v>
      </c>
      <c r="B16" s="518" t="s">
        <v>74</v>
      </c>
      <c r="C16" s="519"/>
      <c r="D16" s="520" t="s">
        <v>78</v>
      </c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48"/>
    </row>
    <row r="17" spans="1:17">
      <c r="A17" s="511" t="s">
        <v>43</v>
      </c>
      <c r="B17" s="517" t="s">
        <v>75</v>
      </c>
      <c r="C17" s="510"/>
      <c r="D17" s="512"/>
      <c r="E17" s="507" t="s">
        <v>29</v>
      </c>
      <c r="F17" s="507" t="s">
        <v>30</v>
      </c>
      <c r="G17" s="507" t="s">
        <v>31</v>
      </c>
      <c r="H17" s="507" t="s">
        <v>32</v>
      </c>
      <c r="I17" s="507" t="s">
        <v>33</v>
      </c>
      <c r="J17" s="507" t="s">
        <v>34</v>
      </c>
      <c r="K17" s="507" t="s">
        <v>35</v>
      </c>
      <c r="L17" s="507" t="s">
        <v>65</v>
      </c>
      <c r="M17" s="507" t="s">
        <v>37</v>
      </c>
      <c r="N17" s="507" t="s">
        <v>38</v>
      </c>
      <c r="O17" s="507" t="s">
        <v>39</v>
      </c>
      <c r="P17" s="508" t="s">
        <v>40</v>
      </c>
      <c r="Q17" s="509" t="s">
        <v>4</v>
      </c>
    </row>
    <row r="18" spans="1:17">
      <c r="A18" s="87" t="s">
        <v>43</v>
      </c>
      <c r="B18" s="48" t="s">
        <v>75</v>
      </c>
      <c r="C18" s="502"/>
      <c r="D18" s="41" t="s">
        <v>66</v>
      </c>
      <c r="E18" s="55">
        <v>5555</v>
      </c>
      <c r="F18" s="55">
        <v>10797</v>
      </c>
      <c r="G18" s="55">
        <v>11750</v>
      </c>
      <c r="H18" s="55"/>
      <c r="I18" s="55"/>
      <c r="J18" s="55"/>
      <c r="K18" s="55"/>
      <c r="L18" s="55"/>
      <c r="M18" s="55"/>
      <c r="N18" s="55"/>
      <c r="O18" s="55"/>
      <c r="P18" s="56"/>
      <c r="Q18" s="56">
        <f>SUM(Tableau3[[#This Row],[Janvier]:[Décembre]])</f>
        <v>28102</v>
      </c>
    </row>
    <row r="19" spans="1:17">
      <c r="A19" s="87" t="s">
        <v>43</v>
      </c>
      <c r="B19" s="48" t="s">
        <v>75</v>
      </c>
      <c r="C19" s="48"/>
      <c r="D19" s="42" t="s">
        <v>67</v>
      </c>
      <c r="E19" s="99">
        <v>7218</v>
      </c>
      <c r="F19" s="99">
        <v>13034</v>
      </c>
      <c r="G19" s="99">
        <v>4560</v>
      </c>
      <c r="H19" s="99"/>
      <c r="I19" s="99"/>
      <c r="J19" s="99"/>
      <c r="K19" s="99"/>
      <c r="L19" s="99"/>
      <c r="M19" s="99"/>
      <c r="N19" s="99"/>
      <c r="O19" s="99"/>
      <c r="P19" s="100"/>
      <c r="Q19" s="100">
        <f>SUM(Tableau3[[#This Row],[Janvier]:[Décembre]])</f>
        <v>24812</v>
      </c>
    </row>
    <row r="20" spans="1:17">
      <c r="A20" s="87" t="s">
        <v>43</v>
      </c>
      <c r="B20" s="48" t="s">
        <v>75</v>
      </c>
      <c r="C20" s="503" t="s">
        <v>2024</v>
      </c>
      <c r="D20" s="506" t="s">
        <v>2018</v>
      </c>
      <c r="E20" s="564">
        <f>E18+E19</f>
        <v>12773</v>
      </c>
      <c r="F20" s="564">
        <f t="shared" ref="F20:P20" si="1">F18+F19</f>
        <v>23831</v>
      </c>
      <c r="G20" s="564">
        <f t="shared" si="1"/>
        <v>16310</v>
      </c>
      <c r="H20" s="564">
        <f t="shared" si="1"/>
        <v>0</v>
      </c>
      <c r="I20" s="564">
        <f t="shared" si="1"/>
        <v>0</v>
      </c>
      <c r="J20" s="564">
        <f t="shared" si="1"/>
        <v>0</v>
      </c>
      <c r="K20" s="564">
        <f t="shared" si="1"/>
        <v>0</v>
      </c>
      <c r="L20" s="564">
        <f t="shared" si="1"/>
        <v>0</v>
      </c>
      <c r="M20" s="564">
        <f t="shared" si="1"/>
        <v>0</v>
      </c>
      <c r="N20" s="564">
        <f t="shared" si="1"/>
        <v>0</v>
      </c>
      <c r="O20" s="564">
        <f t="shared" si="1"/>
        <v>0</v>
      </c>
      <c r="P20" s="564">
        <f t="shared" si="1"/>
        <v>0</v>
      </c>
      <c r="Q20" s="564">
        <f>Q18+Q19</f>
        <v>52914</v>
      </c>
    </row>
    <row r="21" spans="1:17">
      <c r="A21" s="87" t="s">
        <v>43</v>
      </c>
      <c r="B21" s="48" t="s">
        <v>75</v>
      </c>
      <c r="C21" s="48"/>
      <c r="D21" s="90" t="s">
        <v>86</v>
      </c>
      <c r="E21" s="91">
        <v>11700</v>
      </c>
      <c r="F21" s="91">
        <v>14500</v>
      </c>
      <c r="G21" s="91">
        <v>15250</v>
      </c>
      <c r="H21" s="91">
        <v>27500</v>
      </c>
      <c r="I21" s="91">
        <v>23400</v>
      </c>
      <c r="J21" s="91">
        <v>8200</v>
      </c>
      <c r="K21" s="91">
        <v>0</v>
      </c>
      <c r="L21" s="91">
        <v>6000</v>
      </c>
      <c r="M21" s="91">
        <v>4935</v>
      </c>
      <c r="N21" s="91">
        <v>3600</v>
      </c>
      <c r="O21" s="91">
        <v>9600</v>
      </c>
      <c r="P21" s="91">
        <v>4800</v>
      </c>
      <c r="Q21" s="91">
        <f>SUM(Tableau3[[#This Row],[Janvier]:[Décembre]])</f>
        <v>129485</v>
      </c>
    </row>
    <row r="22" spans="1:17">
      <c r="A22" s="87" t="s">
        <v>43</v>
      </c>
      <c r="B22" s="48" t="s">
        <v>75</v>
      </c>
      <c r="C22" s="49"/>
      <c r="D22" s="24" t="s">
        <v>1912</v>
      </c>
      <c r="E22" s="495">
        <v>11700</v>
      </c>
      <c r="F22" s="495">
        <v>14500</v>
      </c>
      <c r="G22" s="495">
        <v>16450</v>
      </c>
      <c r="H22" s="495">
        <v>28300</v>
      </c>
      <c r="I22" s="495">
        <v>23620</v>
      </c>
      <c r="J22" s="495">
        <v>8200</v>
      </c>
      <c r="K22" s="495">
        <v>0</v>
      </c>
      <c r="L22" s="495">
        <v>6000</v>
      </c>
      <c r="M22" s="495">
        <v>4935</v>
      </c>
      <c r="N22" s="495">
        <v>3600</v>
      </c>
      <c r="O22" s="495">
        <v>9600</v>
      </c>
      <c r="P22" s="495">
        <v>4800</v>
      </c>
      <c r="Q22" s="495">
        <f>SUM(Tableau3[[#This Row],[Janvier]:[Décembre]])</f>
        <v>131705</v>
      </c>
    </row>
    <row r="23" spans="1:17">
      <c r="A23" s="87" t="s">
        <v>43</v>
      </c>
      <c r="B23" s="48" t="s">
        <v>75</v>
      </c>
      <c r="C23" s="502"/>
      <c r="D23" s="516" t="s">
        <v>2019</v>
      </c>
      <c r="E23" s="563">
        <f>E18</f>
        <v>5555</v>
      </c>
      <c r="F23" s="563">
        <f>F18+Tableau3[[#This Row],[Janvier]]</f>
        <v>16352</v>
      </c>
      <c r="G23" s="563">
        <f>G18+Tableau3[[#This Row],[Février]]</f>
        <v>28102</v>
      </c>
      <c r="H23" s="563">
        <f>H18+Tableau3[[#This Row],[Mars]]</f>
        <v>28102</v>
      </c>
      <c r="I23" s="563">
        <f>I18+Tableau3[[#This Row],[Avril]]</f>
        <v>28102</v>
      </c>
      <c r="J23" s="563">
        <f>J18+Tableau3[[#This Row],[Mai]]</f>
        <v>28102</v>
      </c>
      <c r="K23" s="563">
        <f>K18+Tableau3[[#This Row],[Juin]]</f>
        <v>28102</v>
      </c>
      <c r="L23" s="563">
        <f>L18+Tableau3[[#This Row],[Juillet]]</f>
        <v>28102</v>
      </c>
      <c r="M23" s="563">
        <f>M18+Tableau3[[#This Row],[Août]]</f>
        <v>28102</v>
      </c>
      <c r="N23" s="563">
        <f>N18+Tableau3[[#This Row],[Septembre]]</f>
        <v>28102</v>
      </c>
      <c r="O23" s="563">
        <f>O18+Tableau3[[#This Row],[Octobre]]</f>
        <v>28102</v>
      </c>
      <c r="P23" s="563">
        <f>P18+Tableau3[[#This Row],[Novembre]]</f>
        <v>28102</v>
      </c>
      <c r="Q23" s="563"/>
    </row>
    <row r="24" spans="1:17">
      <c r="A24" s="87" t="s">
        <v>43</v>
      </c>
      <c r="B24" s="48" t="s">
        <v>75</v>
      </c>
      <c r="C24" s="48"/>
      <c r="D24" s="497" t="s">
        <v>2017</v>
      </c>
      <c r="E24" s="498">
        <f>E19</f>
        <v>7218</v>
      </c>
      <c r="F24" s="498">
        <f>F19+Tableau3[[#This Row],[Janvier]]</f>
        <v>20252</v>
      </c>
      <c r="G24" s="498">
        <f>G19+Tableau3[[#This Row],[Février]]</f>
        <v>24812</v>
      </c>
      <c r="H24" s="498">
        <f>H19+Tableau3[[#This Row],[Mars]]</f>
        <v>24812</v>
      </c>
      <c r="I24" s="498">
        <f>I19+Tableau3[[#This Row],[Avril]]</f>
        <v>24812</v>
      </c>
      <c r="J24" s="498">
        <f>J19+Tableau3[[#This Row],[Mai]]</f>
        <v>24812</v>
      </c>
      <c r="K24" s="498">
        <f>K19+Tableau3[[#This Row],[Juin]]</f>
        <v>24812</v>
      </c>
      <c r="L24" s="498">
        <f>L19+Tableau3[[#This Row],[Juillet]]</f>
        <v>24812</v>
      </c>
      <c r="M24" s="498">
        <f>M19+Tableau3[[#This Row],[Août]]</f>
        <v>24812</v>
      </c>
      <c r="N24" s="498">
        <f>N19+Tableau3[[#This Row],[Septembre]]</f>
        <v>24812</v>
      </c>
      <c r="O24" s="498">
        <f>O19+Tableau3[[#This Row],[Octobre]]</f>
        <v>24812</v>
      </c>
      <c r="P24" s="498">
        <f>P19+Tableau3[[#This Row],[Novembre]]</f>
        <v>24812</v>
      </c>
      <c r="Q24" s="498"/>
    </row>
    <row r="25" spans="1:17">
      <c r="A25" s="87" t="s">
        <v>43</v>
      </c>
      <c r="B25" s="48" t="s">
        <v>75</v>
      </c>
      <c r="C25" s="503" t="s">
        <v>2047</v>
      </c>
      <c r="D25" s="501" t="s">
        <v>95</v>
      </c>
      <c r="E25" s="500">
        <f>E18+E19</f>
        <v>12773</v>
      </c>
      <c r="F25" s="500">
        <f>(F18+F19)+Tableau3[[#This Row],[Janvier]]</f>
        <v>36604</v>
      </c>
      <c r="G25" s="500">
        <f>(G18+G19)+Tableau3[[#This Row],[Février]]</f>
        <v>52914</v>
      </c>
      <c r="H25" s="500">
        <f>(H18+H19)+Tableau3[[#This Row],[Mars]]</f>
        <v>52914</v>
      </c>
      <c r="I25" s="500">
        <f>(I18+I19)+Tableau3[[#This Row],[Avril]]</f>
        <v>52914</v>
      </c>
      <c r="J25" s="500">
        <f>(J18+J19)+Tableau3[[#This Row],[Mai]]</f>
        <v>52914</v>
      </c>
      <c r="K25" s="500">
        <f>(K18+K19)+Tableau3[[#This Row],[Juin]]</f>
        <v>52914</v>
      </c>
      <c r="L25" s="500">
        <f>(L18+L19)+Tableau3[[#This Row],[Juillet]]</f>
        <v>52914</v>
      </c>
      <c r="M25" s="500">
        <f>(M18+M19)+Tableau3[[#This Row],[Août]]</f>
        <v>52914</v>
      </c>
      <c r="N25" s="500">
        <f>(N18+N19)+Tableau3[[#This Row],[Septembre]]</f>
        <v>52914</v>
      </c>
      <c r="O25" s="500">
        <f>(O18+O19)+Tableau3[[#This Row],[Octobre]]</f>
        <v>52914</v>
      </c>
      <c r="P25" s="500">
        <f>(P18+P19)+Tableau3[[#This Row],[Novembre]]</f>
        <v>52914</v>
      </c>
      <c r="Q25" s="500"/>
    </row>
    <row r="26" spans="1:17">
      <c r="A26" s="87" t="s">
        <v>43</v>
      </c>
      <c r="B26" s="48" t="s">
        <v>75</v>
      </c>
      <c r="C26" s="48"/>
      <c r="D26" s="515" t="s">
        <v>2026</v>
      </c>
      <c r="E26" s="523">
        <f>E21</f>
        <v>11700</v>
      </c>
      <c r="F26" s="523">
        <f>F21+Tableau3[[#This Row],[Janvier]]</f>
        <v>26200</v>
      </c>
      <c r="G26" s="523">
        <f>G21+Tableau3[[#This Row],[Février]]</f>
        <v>41450</v>
      </c>
      <c r="H26" s="523">
        <f>H21+Tableau3[[#This Row],[Mars]]</f>
        <v>68950</v>
      </c>
      <c r="I26" s="523">
        <f>I21+Tableau3[[#This Row],[Avril]]</f>
        <v>92350</v>
      </c>
      <c r="J26" s="523">
        <f>J21+Tableau3[[#This Row],[Mai]]</f>
        <v>100550</v>
      </c>
      <c r="K26" s="523">
        <f>K21+Tableau3[[#This Row],[Juin]]</f>
        <v>100550</v>
      </c>
      <c r="L26" s="523">
        <f>L21+Tableau3[[#This Row],[Juillet]]</f>
        <v>106550</v>
      </c>
      <c r="M26" s="523">
        <f>M21+Tableau3[[#This Row],[Août]]</f>
        <v>111485</v>
      </c>
      <c r="N26" s="523">
        <f>N21+Tableau3[[#This Row],[Septembre]]</f>
        <v>115085</v>
      </c>
      <c r="O26" s="523">
        <f>O21+Tableau3[[#This Row],[Octobre]]</f>
        <v>124685</v>
      </c>
      <c r="P26" s="523">
        <f>P21+Tableau3[[#This Row],[Novembre]]</f>
        <v>129485</v>
      </c>
      <c r="Q26" s="523"/>
    </row>
    <row r="27" spans="1:17">
      <c r="A27" s="87" t="s">
        <v>43</v>
      </c>
      <c r="B27" s="48" t="s">
        <v>75</v>
      </c>
      <c r="C27" s="49"/>
      <c r="D27" s="504" t="s">
        <v>2030</v>
      </c>
      <c r="E27" s="505">
        <f>E22</f>
        <v>11700</v>
      </c>
      <c r="F27" s="505">
        <f>F22+Tableau3[[#This Row],[Janvier]]</f>
        <v>26200</v>
      </c>
      <c r="G27" s="505">
        <f>G22+Tableau3[[#This Row],[Février]]</f>
        <v>42650</v>
      </c>
      <c r="H27" s="505">
        <f>H22+Tableau3[[#This Row],[Mars]]</f>
        <v>70950</v>
      </c>
      <c r="I27" s="505">
        <f>I22+Tableau3[[#This Row],[Avril]]</f>
        <v>94570</v>
      </c>
      <c r="J27" s="505">
        <f>J22+Tableau3[[#This Row],[Mai]]</f>
        <v>102770</v>
      </c>
      <c r="K27" s="505">
        <f>K22+Tableau3[[#This Row],[Juin]]</f>
        <v>102770</v>
      </c>
      <c r="L27" s="505">
        <f>L22+Tableau3[[#This Row],[Juillet]]</f>
        <v>108770</v>
      </c>
      <c r="M27" s="505">
        <f>M22+Tableau3[[#This Row],[Août]]</f>
        <v>113705</v>
      </c>
      <c r="N27" s="505">
        <f>N22+Tableau3[[#This Row],[Septembre]]</f>
        <v>117305</v>
      </c>
      <c r="O27" s="505">
        <f>O22+Tableau3[[#This Row],[Octobre]]</f>
        <v>126905</v>
      </c>
      <c r="P27" s="505">
        <f>P22+Tableau3[[#This Row],[Novembre]]</f>
        <v>131705</v>
      </c>
      <c r="Q27" s="505"/>
    </row>
    <row r="28" spans="1:17" ht="15.75" thickBot="1">
      <c r="A28" s="87" t="s">
        <v>43</v>
      </c>
      <c r="B28" s="514" t="s">
        <v>75</v>
      </c>
      <c r="C28" s="549"/>
      <c r="D28" s="550" t="s">
        <v>78</v>
      </c>
      <c r="E28" s="551"/>
      <c r="F28" s="551"/>
      <c r="G28" s="551"/>
      <c r="H28" s="551"/>
      <c r="I28" s="551"/>
      <c r="J28" s="551"/>
      <c r="K28" s="551"/>
      <c r="L28" s="551"/>
      <c r="M28" s="551"/>
      <c r="N28" s="551"/>
      <c r="O28" s="551"/>
      <c r="P28" s="552"/>
      <c r="Q28" s="553"/>
    </row>
    <row r="29" spans="1:17" s="513" customFormat="1">
      <c r="A29" s="529" t="s">
        <v>43</v>
      </c>
      <c r="B29" s="531" t="s">
        <v>72</v>
      </c>
      <c r="C29" s="531"/>
      <c r="D29" s="532"/>
      <c r="E29" s="533" t="s">
        <v>29</v>
      </c>
      <c r="F29" s="533" t="s">
        <v>30</v>
      </c>
      <c r="G29" s="533" t="s">
        <v>31</v>
      </c>
      <c r="H29" s="533" t="s">
        <v>32</v>
      </c>
      <c r="I29" s="533" t="s">
        <v>33</v>
      </c>
      <c r="J29" s="533" t="s">
        <v>34</v>
      </c>
      <c r="K29" s="533" t="s">
        <v>35</v>
      </c>
      <c r="L29" s="533" t="s">
        <v>65</v>
      </c>
      <c r="M29" s="533" t="s">
        <v>37</v>
      </c>
      <c r="N29" s="533" t="s">
        <v>38</v>
      </c>
      <c r="O29" s="533" t="s">
        <v>39</v>
      </c>
      <c r="P29" s="534" t="s">
        <v>40</v>
      </c>
      <c r="Q29" s="535" t="s">
        <v>4</v>
      </c>
    </row>
    <row r="30" spans="1:17">
      <c r="A30" s="536" t="s">
        <v>43</v>
      </c>
      <c r="B30" s="47" t="s">
        <v>72</v>
      </c>
      <c r="C30" s="502"/>
      <c r="D30" s="25" t="s">
        <v>66</v>
      </c>
      <c r="E30" s="55">
        <v>10542</v>
      </c>
      <c r="F30" s="55">
        <v>13027</v>
      </c>
      <c r="G30" s="55">
        <v>12578</v>
      </c>
      <c r="H30" s="55"/>
      <c r="I30" s="55"/>
      <c r="J30" s="55"/>
      <c r="K30" s="55"/>
      <c r="L30" s="55"/>
      <c r="M30" s="55"/>
      <c r="N30" s="55"/>
      <c r="O30" s="55"/>
      <c r="P30" s="56"/>
      <c r="Q30" s="537">
        <f>SUM(Tableau3[[#This Row],[Janvier]:[Décembre]])</f>
        <v>36147</v>
      </c>
    </row>
    <row r="31" spans="1:17">
      <c r="A31" s="536" t="s">
        <v>43</v>
      </c>
      <c r="B31" s="47" t="s">
        <v>72</v>
      </c>
      <c r="C31" s="48"/>
      <c r="D31" s="37" t="s">
        <v>67</v>
      </c>
      <c r="E31" s="99">
        <v>108</v>
      </c>
      <c r="F31" s="99">
        <v>1003</v>
      </c>
      <c r="G31" s="99">
        <v>561</v>
      </c>
      <c r="H31" s="99"/>
      <c r="I31" s="99"/>
      <c r="J31" s="99"/>
      <c r="K31" s="99"/>
      <c r="L31" s="99"/>
      <c r="M31" s="99"/>
      <c r="N31" s="99"/>
      <c r="O31" s="99"/>
      <c r="P31" s="99"/>
      <c r="Q31" s="538">
        <f>SUM(Tableau3[[#This Row],[Janvier]:[Décembre]])</f>
        <v>1672</v>
      </c>
    </row>
    <row r="32" spans="1:17">
      <c r="A32" s="536" t="s">
        <v>43</v>
      </c>
      <c r="B32" s="47" t="s">
        <v>72</v>
      </c>
      <c r="C32" s="503" t="s">
        <v>2024</v>
      </c>
      <c r="D32" s="506" t="s">
        <v>2018</v>
      </c>
      <c r="E32" s="499">
        <f>E30+E31</f>
        <v>10650</v>
      </c>
      <c r="F32" s="499">
        <f t="shared" ref="F32:P32" si="2">F30+F31</f>
        <v>14030</v>
      </c>
      <c r="G32" s="499">
        <f t="shared" si="2"/>
        <v>13139</v>
      </c>
      <c r="H32" s="499">
        <f t="shared" si="2"/>
        <v>0</v>
      </c>
      <c r="I32" s="499">
        <f t="shared" si="2"/>
        <v>0</v>
      </c>
      <c r="J32" s="499">
        <f t="shared" si="2"/>
        <v>0</v>
      </c>
      <c r="K32" s="499">
        <f t="shared" si="2"/>
        <v>0</v>
      </c>
      <c r="L32" s="499">
        <f t="shared" si="2"/>
        <v>0</v>
      </c>
      <c r="M32" s="499">
        <f t="shared" si="2"/>
        <v>0</v>
      </c>
      <c r="N32" s="499">
        <f t="shared" si="2"/>
        <v>0</v>
      </c>
      <c r="O32" s="499">
        <f t="shared" si="2"/>
        <v>0</v>
      </c>
      <c r="P32" s="499">
        <f t="shared" si="2"/>
        <v>0</v>
      </c>
      <c r="Q32" s="539">
        <f>Q30+Q31</f>
        <v>37819</v>
      </c>
    </row>
    <row r="33" spans="1:17">
      <c r="A33" s="536" t="s">
        <v>43</v>
      </c>
      <c r="B33" s="47" t="s">
        <v>72</v>
      </c>
      <c r="C33" s="48"/>
      <c r="D33" s="90" t="s">
        <v>86</v>
      </c>
      <c r="E33" s="91">
        <v>21800</v>
      </c>
      <c r="F33" s="91">
        <v>21800</v>
      </c>
      <c r="G33" s="91">
        <v>19000</v>
      </c>
      <c r="H33" s="91">
        <v>36900</v>
      </c>
      <c r="I33" s="91">
        <v>28820</v>
      </c>
      <c r="J33" s="91">
        <v>8210</v>
      </c>
      <c r="K33" s="91">
        <v>10200</v>
      </c>
      <c r="L33" s="91">
        <v>4800</v>
      </c>
      <c r="M33" s="91">
        <v>14400</v>
      </c>
      <c r="N33" s="91">
        <v>24400</v>
      </c>
      <c r="O33" s="91">
        <v>18400</v>
      </c>
      <c r="P33" s="91">
        <v>5000</v>
      </c>
      <c r="Q33" s="540">
        <f>SUM(Tableau3[[#This Row],[Janvier]:[Décembre]])</f>
        <v>213730</v>
      </c>
    </row>
    <row r="34" spans="1:17">
      <c r="A34" s="536" t="s">
        <v>43</v>
      </c>
      <c r="B34" s="47" t="s">
        <v>72</v>
      </c>
      <c r="C34" s="49"/>
      <c r="D34" s="24" t="s">
        <v>1912</v>
      </c>
      <c r="E34" s="495">
        <v>21800</v>
      </c>
      <c r="F34" s="495">
        <v>17000</v>
      </c>
      <c r="G34" s="495">
        <v>19900</v>
      </c>
      <c r="H34" s="495">
        <v>37800</v>
      </c>
      <c r="I34" s="495">
        <v>26170</v>
      </c>
      <c r="J34" s="495">
        <v>8210</v>
      </c>
      <c r="K34" s="495">
        <v>10200</v>
      </c>
      <c r="L34" s="495">
        <v>0</v>
      </c>
      <c r="M34" s="495">
        <v>9600</v>
      </c>
      <c r="N34" s="495">
        <v>25200</v>
      </c>
      <c r="O34" s="495">
        <v>17000</v>
      </c>
      <c r="P34" s="495">
        <v>5000</v>
      </c>
      <c r="Q34" s="541">
        <f>SUM(Tableau3[[#This Row],[Janvier]:[Décembre]])</f>
        <v>197880</v>
      </c>
    </row>
    <row r="35" spans="1:17">
      <c r="A35" s="536" t="s">
        <v>43</v>
      </c>
      <c r="B35" s="47" t="s">
        <v>72</v>
      </c>
      <c r="C35" s="502"/>
      <c r="D35" s="516" t="s">
        <v>2019</v>
      </c>
      <c r="E35" s="563">
        <f>E30</f>
        <v>10542</v>
      </c>
      <c r="F35" s="563">
        <f>F30+Tableau3[[#This Row],[Janvier]]</f>
        <v>23569</v>
      </c>
      <c r="G35" s="563">
        <f>G30+Tableau3[[#This Row],[Février]]</f>
        <v>36147</v>
      </c>
      <c r="H35" s="563">
        <f>H30+Tableau3[[#This Row],[Mars]]</f>
        <v>36147</v>
      </c>
      <c r="I35" s="563">
        <f>I30+Tableau3[[#This Row],[Avril]]</f>
        <v>36147</v>
      </c>
      <c r="J35" s="563">
        <f>J30+Tableau3[[#This Row],[Mai]]</f>
        <v>36147</v>
      </c>
      <c r="K35" s="563">
        <f>K30+Tableau3[[#This Row],[Juin]]</f>
        <v>36147</v>
      </c>
      <c r="L35" s="563">
        <f>L30+Tableau3[[#This Row],[Juillet]]</f>
        <v>36147</v>
      </c>
      <c r="M35" s="563">
        <f>M30+Tableau3[[#This Row],[Août]]</f>
        <v>36147</v>
      </c>
      <c r="N35" s="563">
        <f>N30+Tableau3[[#This Row],[Septembre]]</f>
        <v>36147</v>
      </c>
      <c r="O35" s="563">
        <f>O30+Tableau3[[#This Row],[Octobre]]</f>
        <v>36147</v>
      </c>
      <c r="P35" s="563">
        <f>P30+Tableau3[[#This Row],[Novembre]]</f>
        <v>36147</v>
      </c>
      <c r="Q35" s="642"/>
    </row>
    <row r="36" spans="1:17">
      <c r="A36" s="536" t="s">
        <v>43</v>
      </c>
      <c r="B36" s="47" t="s">
        <v>72</v>
      </c>
      <c r="C36" s="48"/>
      <c r="D36" s="497" t="s">
        <v>2017</v>
      </c>
      <c r="E36" s="498">
        <f>E31</f>
        <v>108</v>
      </c>
      <c r="F36" s="498">
        <f>F31+Tableau3[[#This Row],[Janvier]]</f>
        <v>1111</v>
      </c>
      <c r="G36" s="498">
        <f>G31+Tableau3[[#This Row],[Février]]</f>
        <v>1672</v>
      </c>
      <c r="H36" s="498">
        <f>H31+Tableau3[[#This Row],[Mars]]</f>
        <v>1672</v>
      </c>
      <c r="I36" s="498">
        <f>I31+Tableau3[[#This Row],[Avril]]</f>
        <v>1672</v>
      </c>
      <c r="J36" s="498">
        <f>J31+Tableau3[[#This Row],[Mai]]</f>
        <v>1672</v>
      </c>
      <c r="K36" s="498">
        <f>K31+Tableau3[[#This Row],[Juin]]</f>
        <v>1672</v>
      </c>
      <c r="L36" s="498">
        <f>L31+Tableau3[[#This Row],[Juillet]]</f>
        <v>1672</v>
      </c>
      <c r="M36" s="498">
        <f>M31+Tableau3[[#This Row],[Août]]</f>
        <v>1672</v>
      </c>
      <c r="N36" s="498">
        <f>N31+Tableau3[[#This Row],[Septembre]]</f>
        <v>1672</v>
      </c>
      <c r="O36" s="498">
        <f>O31+Tableau3[[#This Row],[Octobre]]</f>
        <v>1672</v>
      </c>
      <c r="P36" s="498">
        <f>P31+Tableau3[[#This Row],[Novembre]]</f>
        <v>1672</v>
      </c>
      <c r="Q36" s="643"/>
    </row>
    <row r="37" spans="1:17">
      <c r="A37" s="536" t="s">
        <v>43</v>
      </c>
      <c r="B37" s="47" t="s">
        <v>72</v>
      </c>
      <c r="C37" s="503" t="s">
        <v>2047</v>
      </c>
      <c r="D37" s="501" t="s">
        <v>95</v>
      </c>
      <c r="E37" s="500">
        <f>E30+E31</f>
        <v>10650</v>
      </c>
      <c r="F37" s="500">
        <f>(F30+F31)+Tableau3[[#This Row],[Janvier]]</f>
        <v>24680</v>
      </c>
      <c r="G37" s="500">
        <f>(G30+G31)+Tableau3[[#This Row],[Février]]</f>
        <v>37819</v>
      </c>
      <c r="H37" s="500">
        <f>(H30+H31)+Tableau3[[#This Row],[Mars]]</f>
        <v>37819</v>
      </c>
      <c r="I37" s="500">
        <f>(I30+I31)+Tableau3[[#This Row],[Avril]]</f>
        <v>37819</v>
      </c>
      <c r="J37" s="500">
        <f>(J30+J31)+Tableau3[[#This Row],[Mai]]</f>
        <v>37819</v>
      </c>
      <c r="K37" s="500">
        <f>(K30+K31)+Tableau3[[#This Row],[Juin]]</f>
        <v>37819</v>
      </c>
      <c r="L37" s="500">
        <f>(L30+L31)+Tableau3[[#This Row],[Juillet]]</f>
        <v>37819</v>
      </c>
      <c r="M37" s="500">
        <f>(M30+M31)+Tableau3[[#This Row],[Août]]</f>
        <v>37819</v>
      </c>
      <c r="N37" s="500">
        <f>(N30+N31)+Tableau3[[#This Row],[Septembre]]</f>
        <v>37819</v>
      </c>
      <c r="O37" s="500">
        <f>(O30+O31)+Tableau3[[#This Row],[Octobre]]</f>
        <v>37819</v>
      </c>
      <c r="P37" s="500">
        <f>(P30+P31)+Tableau3[[#This Row],[Novembre]]</f>
        <v>37819</v>
      </c>
      <c r="Q37" s="644"/>
    </row>
    <row r="38" spans="1:17">
      <c r="A38" s="536" t="s">
        <v>43</v>
      </c>
      <c r="B38" s="47" t="s">
        <v>72</v>
      </c>
      <c r="C38" s="48"/>
      <c r="D38" s="515" t="s">
        <v>2026</v>
      </c>
      <c r="E38" s="523">
        <f>E33</f>
        <v>21800</v>
      </c>
      <c r="F38" s="523">
        <f>F33+Tableau3[[#This Row],[Janvier]]</f>
        <v>43600</v>
      </c>
      <c r="G38" s="523">
        <f>G33+Tableau3[[#This Row],[Février]]</f>
        <v>62600</v>
      </c>
      <c r="H38" s="523">
        <f>H33+Tableau3[[#This Row],[Mars]]</f>
        <v>99500</v>
      </c>
      <c r="I38" s="523">
        <f>I33+Tableau3[[#This Row],[Avril]]</f>
        <v>128320</v>
      </c>
      <c r="J38" s="523">
        <f>J33+Tableau3[[#This Row],[Mai]]</f>
        <v>136530</v>
      </c>
      <c r="K38" s="523">
        <f>K33+Tableau3[[#This Row],[Juin]]</f>
        <v>146730</v>
      </c>
      <c r="L38" s="523">
        <f>L33+Tableau3[[#This Row],[Juillet]]</f>
        <v>151530</v>
      </c>
      <c r="M38" s="523">
        <f>M33+Tableau3[[#This Row],[Août]]</f>
        <v>165930</v>
      </c>
      <c r="N38" s="523">
        <f>N33+Tableau3[[#This Row],[Septembre]]</f>
        <v>190330</v>
      </c>
      <c r="O38" s="523">
        <f>O33+Tableau3[[#This Row],[Octobre]]</f>
        <v>208730</v>
      </c>
      <c r="P38" s="523">
        <f>P33+Tableau3[[#This Row],[Novembre]]</f>
        <v>213730</v>
      </c>
      <c r="Q38" s="645"/>
    </row>
    <row r="39" spans="1:17">
      <c r="A39" s="536" t="s">
        <v>43</v>
      </c>
      <c r="B39" s="47" t="s">
        <v>72</v>
      </c>
      <c r="C39" s="49"/>
      <c r="D39" s="504" t="s">
        <v>2030</v>
      </c>
      <c r="E39" s="505">
        <f>E34</f>
        <v>21800</v>
      </c>
      <c r="F39" s="505">
        <f>F34+Tableau3[[#This Row],[Janvier]]</f>
        <v>38800</v>
      </c>
      <c r="G39" s="505">
        <f>G34+Tableau3[[#This Row],[Février]]</f>
        <v>58700</v>
      </c>
      <c r="H39" s="505">
        <f>H34+Tableau3[[#This Row],[Mars]]</f>
        <v>96500</v>
      </c>
      <c r="I39" s="505">
        <f>I34+Tableau3[[#This Row],[Avril]]</f>
        <v>122670</v>
      </c>
      <c r="J39" s="505">
        <f>J34+Tableau3[[#This Row],[Mai]]</f>
        <v>130880</v>
      </c>
      <c r="K39" s="505">
        <f>K34+Tableau3[[#This Row],[Juin]]</f>
        <v>141080</v>
      </c>
      <c r="L39" s="505">
        <f>L34+Tableau3[[#This Row],[Juillet]]</f>
        <v>141080</v>
      </c>
      <c r="M39" s="505">
        <f>M34+Tableau3[[#This Row],[Août]]</f>
        <v>150680</v>
      </c>
      <c r="N39" s="505">
        <f>N34+Tableau3[[#This Row],[Septembre]]</f>
        <v>175880</v>
      </c>
      <c r="O39" s="505">
        <f>O34+Tableau3[[#This Row],[Octobre]]</f>
        <v>192880</v>
      </c>
      <c r="P39" s="505">
        <f>P34+Tableau3[[#This Row],[Novembre]]</f>
        <v>197880</v>
      </c>
      <c r="Q39" s="646"/>
    </row>
    <row r="40" spans="1:17" ht="15.75" thickBot="1">
      <c r="A40" s="536" t="s">
        <v>43</v>
      </c>
      <c r="B40" s="519" t="s">
        <v>72</v>
      </c>
      <c r="C40" s="554"/>
      <c r="D40" s="555" t="s">
        <v>78</v>
      </c>
      <c r="E40" s="521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548"/>
    </row>
    <row r="41" spans="1:17">
      <c r="A41" s="686" t="s">
        <v>43</v>
      </c>
      <c r="B41" s="677" t="s">
        <v>63</v>
      </c>
      <c r="C41" s="678"/>
      <c r="D41" s="685"/>
      <c r="E41" s="687" t="s">
        <v>29</v>
      </c>
      <c r="F41" s="687" t="s">
        <v>30</v>
      </c>
      <c r="G41" s="687" t="s">
        <v>31</v>
      </c>
      <c r="H41" s="687" t="s">
        <v>32</v>
      </c>
      <c r="I41" s="687" t="s">
        <v>33</v>
      </c>
      <c r="J41" s="687" t="s">
        <v>34</v>
      </c>
      <c r="K41" s="687" t="s">
        <v>35</v>
      </c>
      <c r="L41" s="687" t="s">
        <v>65</v>
      </c>
      <c r="M41" s="687" t="s">
        <v>37</v>
      </c>
      <c r="N41" s="687" t="s">
        <v>38</v>
      </c>
      <c r="O41" s="687" t="s">
        <v>39</v>
      </c>
      <c r="P41" s="687" t="s">
        <v>40</v>
      </c>
      <c r="Q41" s="688"/>
    </row>
    <row r="42" spans="1:17">
      <c r="A42" s="536" t="s">
        <v>43</v>
      </c>
      <c r="B42" s="514" t="s">
        <v>63</v>
      </c>
      <c r="C42" s="682"/>
      <c r="D42" s="25" t="s">
        <v>66</v>
      </c>
      <c r="E42" s="55">
        <v>480</v>
      </c>
      <c r="F42" s="55">
        <v>256</v>
      </c>
      <c r="G42" s="55">
        <v>458</v>
      </c>
      <c r="H42" s="55"/>
      <c r="I42" s="55"/>
      <c r="J42" s="55"/>
      <c r="K42" s="55"/>
      <c r="L42" s="55"/>
      <c r="M42" s="55"/>
      <c r="N42" s="55"/>
      <c r="O42" s="55"/>
      <c r="P42" s="56"/>
      <c r="Q42" s="55">
        <f>SUM(Tableau3[[#This Row],[Janvier]:[Décembre]])</f>
        <v>1194</v>
      </c>
    </row>
    <row r="43" spans="1:17">
      <c r="A43" s="536" t="s">
        <v>43</v>
      </c>
      <c r="B43" s="514" t="s">
        <v>63</v>
      </c>
      <c r="C43" s="683"/>
      <c r="D43" s="37" t="s">
        <v>67</v>
      </c>
      <c r="E43" s="689">
        <v>0</v>
      </c>
      <c r="F43" s="689">
        <v>0</v>
      </c>
      <c r="G43" s="689">
        <v>0</v>
      </c>
      <c r="H43" s="689"/>
      <c r="I43" s="689"/>
      <c r="J43" s="689"/>
      <c r="K43" s="689"/>
      <c r="L43" s="689"/>
      <c r="M43" s="689"/>
      <c r="N43" s="689"/>
      <c r="O43" s="689"/>
      <c r="P43" s="690"/>
      <c r="Q43" s="689">
        <f>SUM(Tableau3[[#This Row],[Janvier]:[Décembre]])</f>
        <v>0</v>
      </c>
    </row>
    <row r="44" spans="1:17">
      <c r="A44" s="536" t="s">
        <v>43</v>
      </c>
      <c r="B44" s="514" t="s">
        <v>63</v>
      </c>
      <c r="C44" s="503" t="s">
        <v>2024</v>
      </c>
      <c r="D44" s="506" t="s">
        <v>2018</v>
      </c>
      <c r="E44" s="499">
        <f>E42+E43</f>
        <v>480</v>
      </c>
      <c r="F44" s="499">
        <f>F42+F43</f>
        <v>256</v>
      </c>
      <c r="G44" s="499">
        <f t="shared" ref="G44:Q44" si="3">G42+G43</f>
        <v>458</v>
      </c>
      <c r="H44" s="499">
        <f t="shared" si="3"/>
        <v>0</v>
      </c>
      <c r="I44" s="499">
        <f t="shared" si="3"/>
        <v>0</v>
      </c>
      <c r="J44" s="499">
        <f t="shared" si="3"/>
        <v>0</v>
      </c>
      <c r="K44" s="499">
        <f t="shared" si="3"/>
        <v>0</v>
      </c>
      <c r="L44" s="499">
        <f t="shared" si="3"/>
        <v>0</v>
      </c>
      <c r="M44" s="499">
        <f t="shared" si="3"/>
        <v>0</v>
      </c>
      <c r="N44" s="499">
        <f t="shared" si="3"/>
        <v>0</v>
      </c>
      <c r="O44" s="499">
        <f t="shared" si="3"/>
        <v>0</v>
      </c>
      <c r="P44" s="499">
        <f t="shared" si="3"/>
        <v>0</v>
      </c>
      <c r="Q44" s="499">
        <f t="shared" si="3"/>
        <v>1194</v>
      </c>
    </row>
    <row r="45" spans="1:17">
      <c r="A45" s="536" t="s">
        <v>43</v>
      </c>
      <c r="B45" s="514" t="s">
        <v>63</v>
      </c>
      <c r="C45" s="683"/>
      <c r="D45" s="90" t="s">
        <v>2036</v>
      </c>
      <c r="E45" s="691"/>
      <c r="F45" s="691"/>
      <c r="G45" s="691"/>
      <c r="H45" s="691"/>
      <c r="I45" s="691"/>
      <c r="J45" s="691"/>
      <c r="K45" s="691"/>
      <c r="L45" s="691"/>
      <c r="M45" s="691"/>
      <c r="N45" s="691"/>
      <c r="O45" s="691"/>
      <c r="P45" s="692"/>
      <c r="Q45" s="691"/>
    </row>
    <row r="46" spans="1:17">
      <c r="A46" s="536" t="s">
        <v>43</v>
      </c>
      <c r="B46" s="514" t="s">
        <v>63</v>
      </c>
      <c r="C46" s="684"/>
      <c r="D46" s="24" t="s">
        <v>2037</v>
      </c>
      <c r="E46" s="495"/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693"/>
      <c r="Q46" s="495"/>
    </row>
    <row r="47" spans="1:17">
      <c r="A47" s="536" t="s">
        <v>43</v>
      </c>
      <c r="B47" s="514" t="s">
        <v>63</v>
      </c>
      <c r="C47" s="682"/>
      <c r="D47" s="516" t="s">
        <v>2019</v>
      </c>
      <c r="E47" s="694">
        <f>E42</f>
        <v>480</v>
      </c>
      <c r="F47" s="694">
        <f>F42+Tableau3[[#This Row],[Janvier]]</f>
        <v>736</v>
      </c>
      <c r="G47" s="694">
        <f>G42+Tableau3[[#This Row],[Février]]</f>
        <v>1194</v>
      </c>
      <c r="H47" s="694">
        <f>H42+Tableau3[[#This Row],[Mars]]</f>
        <v>1194</v>
      </c>
      <c r="I47" s="694">
        <f>I42+Tableau3[[#This Row],[Avril]]</f>
        <v>1194</v>
      </c>
      <c r="J47" s="694">
        <f>J42+Tableau3[[#This Row],[Mai]]</f>
        <v>1194</v>
      </c>
      <c r="K47" s="694">
        <f>K42+Tableau3[[#This Row],[Juin]]</f>
        <v>1194</v>
      </c>
      <c r="L47" s="694">
        <f>L42+Tableau3[[#This Row],[Juillet]]</f>
        <v>1194</v>
      </c>
      <c r="M47" s="694">
        <f>M42+Tableau3[[#This Row],[Août]]</f>
        <v>1194</v>
      </c>
      <c r="N47" s="694">
        <f>N42+Tableau3[[#This Row],[Septembre]]</f>
        <v>1194</v>
      </c>
      <c r="O47" s="694">
        <f>O42+Tableau3[[#This Row],[Octobre]]</f>
        <v>1194</v>
      </c>
      <c r="P47" s="694">
        <f>P42+Tableau3[[#This Row],[Novembre]]</f>
        <v>1194</v>
      </c>
      <c r="Q47" s="696"/>
    </row>
    <row r="48" spans="1:17">
      <c r="A48" s="536" t="s">
        <v>43</v>
      </c>
      <c r="B48" s="514" t="s">
        <v>63</v>
      </c>
      <c r="C48" s="683"/>
      <c r="D48" s="497" t="s">
        <v>2017</v>
      </c>
      <c r="E48" s="695">
        <f>E43</f>
        <v>0</v>
      </c>
      <c r="F48" s="695">
        <f>F43+Tableau3[[#This Row],[Janvier]]</f>
        <v>0</v>
      </c>
      <c r="G48" s="695">
        <f>G43+Tableau3[[#This Row],[Février]]</f>
        <v>0</v>
      </c>
      <c r="H48" s="695">
        <f>H43+Tableau3[[#This Row],[Mars]]</f>
        <v>0</v>
      </c>
      <c r="I48" s="695">
        <f>I43+Tableau3[[#This Row],[Avril]]</f>
        <v>0</v>
      </c>
      <c r="J48" s="695">
        <f>J43+Tableau3[[#This Row],[Mai]]</f>
        <v>0</v>
      </c>
      <c r="K48" s="695">
        <f>K43+Tableau3[[#This Row],[Juin]]</f>
        <v>0</v>
      </c>
      <c r="L48" s="695">
        <f>L43+Tableau3[[#This Row],[Juillet]]</f>
        <v>0</v>
      </c>
      <c r="M48" s="695">
        <f>M43+Tableau3[[#This Row],[Août]]</f>
        <v>0</v>
      </c>
      <c r="N48" s="695">
        <f>N43+Tableau3[[#This Row],[Septembre]]</f>
        <v>0</v>
      </c>
      <c r="O48" s="695">
        <f>O43+Tableau3[[#This Row],[Octobre]]</f>
        <v>0</v>
      </c>
      <c r="P48" s="695">
        <f>P43+Tableau3[[#This Row],[Novembre]]</f>
        <v>0</v>
      </c>
      <c r="Q48" s="697"/>
    </row>
    <row r="49" spans="1:17">
      <c r="A49" s="536" t="s">
        <v>43</v>
      </c>
      <c r="B49" s="514" t="s">
        <v>63</v>
      </c>
      <c r="C49" s="503" t="s">
        <v>2047</v>
      </c>
      <c r="D49" s="501" t="s">
        <v>95</v>
      </c>
      <c r="E49" s="499">
        <f>E44</f>
        <v>480</v>
      </c>
      <c r="F49" s="499">
        <f>F44+Tableau3[[#This Row],[Janvier]]</f>
        <v>736</v>
      </c>
      <c r="G49" s="499">
        <f>G44+Tableau3[[#This Row],[Février]]</f>
        <v>1194</v>
      </c>
      <c r="H49" s="499">
        <f>H44+Tableau3[[#This Row],[Mars]]</f>
        <v>1194</v>
      </c>
      <c r="I49" s="499">
        <f>I44+Tableau3[[#This Row],[Avril]]</f>
        <v>1194</v>
      </c>
      <c r="J49" s="499">
        <f>J44+Tableau3[[#This Row],[Mai]]</f>
        <v>1194</v>
      </c>
      <c r="K49" s="499">
        <f>K44+Tableau3[[#This Row],[Juin]]</f>
        <v>1194</v>
      </c>
      <c r="L49" s="499">
        <f>L44+Tableau3[[#This Row],[Juillet]]</f>
        <v>1194</v>
      </c>
      <c r="M49" s="499">
        <f>M44+Tableau3[[#This Row],[Août]]</f>
        <v>1194</v>
      </c>
      <c r="N49" s="499">
        <f>N44+Tableau3[[#This Row],[Septembre]]</f>
        <v>1194</v>
      </c>
      <c r="O49" s="499">
        <f>O44+Tableau3[[#This Row],[Octobre]]</f>
        <v>1194</v>
      </c>
      <c r="P49" s="499">
        <f>P44+Tableau3[[#This Row],[Novembre]]</f>
        <v>1194</v>
      </c>
      <c r="Q49" s="698"/>
    </row>
    <row r="50" spans="1:17">
      <c r="A50" s="536" t="s">
        <v>43</v>
      </c>
      <c r="B50" s="514" t="s">
        <v>63</v>
      </c>
      <c r="C50" s="683"/>
      <c r="D50" s="515" t="s">
        <v>2026</v>
      </c>
      <c r="E50" s="567">
        <f>E45</f>
        <v>0</v>
      </c>
      <c r="F50" s="567">
        <f>F45+Tableau3[[#This Row],[Janvier]]</f>
        <v>0</v>
      </c>
      <c r="G50" s="567">
        <f>G45+Tableau3[[#This Row],[Février]]</f>
        <v>0</v>
      </c>
      <c r="H50" s="567">
        <f>H45+Tableau3[[#This Row],[Mars]]</f>
        <v>0</v>
      </c>
      <c r="I50" s="567">
        <f>I45+Tableau3[[#This Row],[Avril]]</f>
        <v>0</v>
      </c>
      <c r="J50" s="567">
        <f>J45+Tableau3[[#This Row],[Mai]]</f>
        <v>0</v>
      </c>
      <c r="K50" s="567">
        <f>K45+Tableau3[[#This Row],[Juin]]</f>
        <v>0</v>
      </c>
      <c r="L50" s="567">
        <f>L45+Tableau3[[#This Row],[Juillet]]</f>
        <v>0</v>
      </c>
      <c r="M50" s="567">
        <f>M45+Tableau3[[#This Row],[Août]]</f>
        <v>0</v>
      </c>
      <c r="N50" s="567">
        <f>N45+Tableau3[[#This Row],[Septembre]]</f>
        <v>0</v>
      </c>
      <c r="O50" s="567">
        <f>O45+Tableau3[[#This Row],[Octobre]]</f>
        <v>0</v>
      </c>
      <c r="P50" s="567">
        <f>P45+Tableau3[[#This Row],[Novembre]]</f>
        <v>0</v>
      </c>
      <c r="Q50" s="699"/>
    </row>
    <row r="51" spans="1:17">
      <c r="A51" s="536" t="s">
        <v>43</v>
      </c>
      <c r="B51" s="514" t="s">
        <v>63</v>
      </c>
      <c r="C51" s="684"/>
      <c r="D51" s="504" t="s">
        <v>2030</v>
      </c>
      <c r="E51" s="505">
        <f>E46</f>
        <v>0</v>
      </c>
      <c r="F51" s="505">
        <f>F46+Tableau3[[#This Row],[Janvier]]</f>
        <v>0</v>
      </c>
      <c r="G51" s="505">
        <f>G46+Tableau3[[#This Row],[Février]]</f>
        <v>0</v>
      </c>
      <c r="H51" s="505">
        <f>H46+Tableau3[[#This Row],[Mars]]</f>
        <v>0</v>
      </c>
      <c r="I51" s="505">
        <f>I46+Tableau3[[#This Row],[Avril]]</f>
        <v>0</v>
      </c>
      <c r="J51" s="505">
        <f>J46+Tableau3[[#This Row],[Mai]]</f>
        <v>0</v>
      </c>
      <c r="K51" s="505">
        <f>K46+Tableau3[[#This Row],[Juin]]</f>
        <v>0</v>
      </c>
      <c r="L51" s="505">
        <f>L46+Tableau3[[#This Row],[Juillet]]</f>
        <v>0</v>
      </c>
      <c r="M51" s="505">
        <f>M46+Tableau3[[#This Row],[Août]]</f>
        <v>0</v>
      </c>
      <c r="N51" s="505">
        <f>N46+Tableau3[[#This Row],[Septembre]]</f>
        <v>0</v>
      </c>
      <c r="O51" s="505">
        <f>O46+Tableau3[[#This Row],[Octobre]]</f>
        <v>0</v>
      </c>
      <c r="P51" s="505">
        <f>P46+Tableau3[[#This Row],[Novembre]]</f>
        <v>0</v>
      </c>
      <c r="Q51" s="700"/>
    </row>
    <row r="52" spans="1:17" ht="15.75" thickBot="1">
      <c r="A52" s="547" t="s">
        <v>43</v>
      </c>
      <c r="B52" s="518" t="s">
        <v>63</v>
      </c>
      <c r="C52" s="679"/>
      <c r="D52" s="680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681"/>
      <c r="Q52" s="701"/>
    </row>
    <row r="53" spans="1:17" s="513" customFormat="1">
      <c r="A53" s="511" t="s">
        <v>43</v>
      </c>
      <c r="B53" s="517" t="s">
        <v>62</v>
      </c>
      <c r="C53" s="510"/>
      <c r="D53" s="512"/>
      <c r="E53" s="507" t="s">
        <v>29</v>
      </c>
      <c r="F53" s="507" t="s">
        <v>30</v>
      </c>
      <c r="G53" s="507" t="s">
        <v>31</v>
      </c>
      <c r="H53" s="507" t="s">
        <v>32</v>
      </c>
      <c r="I53" s="507" t="s">
        <v>33</v>
      </c>
      <c r="J53" s="507" t="s">
        <v>34</v>
      </c>
      <c r="K53" s="507" t="s">
        <v>35</v>
      </c>
      <c r="L53" s="507" t="s">
        <v>65</v>
      </c>
      <c r="M53" s="507" t="s">
        <v>37</v>
      </c>
      <c r="N53" s="507" t="s">
        <v>38</v>
      </c>
      <c r="O53" s="507" t="s">
        <v>39</v>
      </c>
      <c r="P53" s="508" t="s">
        <v>40</v>
      </c>
      <c r="Q53" s="509" t="s">
        <v>4</v>
      </c>
    </row>
    <row r="54" spans="1:17">
      <c r="A54" s="87" t="s">
        <v>43</v>
      </c>
      <c r="B54" s="50" t="s">
        <v>62</v>
      </c>
      <c r="C54" s="502"/>
      <c r="D54" s="41" t="s">
        <v>66</v>
      </c>
      <c r="E54" s="55">
        <v>3361</v>
      </c>
      <c r="F54" s="55">
        <v>4496</v>
      </c>
      <c r="G54" s="55">
        <v>10930</v>
      </c>
      <c r="H54" s="55"/>
      <c r="I54" s="55"/>
      <c r="J54" s="55"/>
      <c r="K54" s="55"/>
      <c r="L54" s="55"/>
      <c r="M54" s="55"/>
      <c r="N54" s="55"/>
      <c r="O54" s="55"/>
      <c r="P54" s="56"/>
      <c r="Q54" s="56">
        <f>SUM(Tableau3[[#This Row],[Janvier]:[Décembre]])</f>
        <v>18787</v>
      </c>
    </row>
    <row r="55" spans="1:17">
      <c r="A55" s="87" t="s">
        <v>43</v>
      </c>
      <c r="B55" s="50" t="s">
        <v>62</v>
      </c>
      <c r="C55" s="48"/>
      <c r="D55" s="37" t="s">
        <v>67</v>
      </c>
      <c r="E55" s="99">
        <v>7358</v>
      </c>
      <c r="F55" s="99">
        <v>0</v>
      </c>
      <c r="G55" s="99">
        <v>668</v>
      </c>
      <c r="H55" s="99"/>
      <c r="I55" s="99"/>
      <c r="J55" s="99"/>
      <c r="K55" s="99"/>
      <c r="L55" s="99"/>
      <c r="M55" s="99"/>
      <c r="N55" s="99"/>
      <c r="O55" s="99"/>
      <c r="P55" s="99"/>
      <c r="Q55" s="100">
        <f>SUM(Tableau3[[#This Row],[Janvier]:[Décembre]])</f>
        <v>8026</v>
      </c>
    </row>
    <row r="56" spans="1:17">
      <c r="A56" s="87" t="s">
        <v>43</v>
      </c>
      <c r="B56" s="50" t="s">
        <v>62</v>
      </c>
      <c r="C56" s="503" t="s">
        <v>2024</v>
      </c>
      <c r="D56" s="506" t="s">
        <v>2018</v>
      </c>
      <c r="E56" s="499">
        <f>E54+E55</f>
        <v>10719</v>
      </c>
      <c r="F56" s="499">
        <f t="shared" ref="F56:P56" si="4">F54+F55</f>
        <v>4496</v>
      </c>
      <c r="G56" s="499">
        <f t="shared" si="4"/>
        <v>11598</v>
      </c>
      <c r="H56" s="499">
        <f t="shared" si="4"/>
        <v>0</v>
      </c>
      <c r="I56" s="499">
        <f t="shared" si="4"/>
        <v>0</v>
      </c>
      <c r="J56" s="499">
        <f t="shared" si="4"/>
        <v>0</v>
      </c>
      <c r="K56" s="499">
        <f t="shared" si="4"/>
        <v>0</v>
      </c>
      <c r="L56" s="499">
        <f t="shared" si="4"/>
        <v>0</v>
      </c>
      <c r="M56" s="499">
        <f t="shared" si="4"/>
        <v>0</v>
      </c>
      <c r="N56" s="499">
        <f t="shared" si="4"/>
        <v>0</v>
      </c>
      <c r="O56" s="499">
        <f t="shared" si="4"/>
        <v>0</v>
      </c>
      <c r="P56" s="499">
        <f t="shared" si="4"/>
        <v>0</v>
      </c>
      <c r="Q56" s="499">
        <f>Q54+Q55</f>
        <v>26813</v>
      </c>
    </row>
    <row r="57" spans="1:17">
      <c r="A57" s="87" t="s">
        <v>43</v>
      </c>
      <c r="B57" s="50" t="s">
        <v>62</v>
      </c>
      <c r="C57" s="48"/>
      <c r="D57" s="90" t="s">
        <v>86</v>
      </c>
      <c r="E57" s="91">
        <v>9500</v>
      </c>
      <c r="F57" s="91">
        <v>17200</v>
      </c>
      <c r="G57" s="91">
        <v>17700</v>
      </c>
      <c r="H57" s="91">
        <v>11500</v>
      </c>
      <c r="I57" s="91">
        <v>7600</v>
      </c>
      <c r="J57" s="91">
        <v>4000</v>
      </c>
      <c r="K57" s="91">
        <v>9505</v>
      </c>
      <c r="L57" s="91">
        <v>7100</v>
      </c>
      <c r="M57" s="91">
        <v>11800</v>
      </c>
      <c r="N57" s="91">
        <v>11000</v>
      </c>
      <c r="O57" s="91">
        <v>3500</v>
      </c>
      <c r="P57" s="91">
        <v>1200</v>
      </c>
      <c r="Q57" s="91">
        <f>SUM(Tableau3[[#This Row],[Janvier]:[Décembre]])</f>
        <v>111605</v>
      </c>
    </row>
    <row r="58" spans="1:17">
      <c r="A58" s="87" t="s">
        <v>43</v>
      </c>
      <c r="B58" s="50" t="s">
        <v>62</v>
      </c>
      <c r="C58" s="49"/>
      <c r="D58" s="24" t="s">
        <v>1912</v>
      </c>
      <c r="E58" s="495">
        <v>9500</v>
      </c>
      <c r="F58" s="495">
        <v>18400</v>
      </c>
      <c r="G58" s="495">
        <v>14700</v>
      </c>
      <c r="H58" s="495">
        <v>8900</v>
      </c>
      <c r="I58" s="495">
        <v>3600</v>
      </c>
      <c r="J58" s="495">
        <v>1200</v>
      </c>
      <c r="K58" s="495">
        <v>8800</v>
      </c>
      <c r="L58" s="495">
        <v>4400</v>
      </c>
      <c r="M58" s="495">
        <v>11800</v>
      </c>
      <c r="N58" s="495">
        <v>11000</v>
      </c>
      <c r="O58" s="495">
        <v>3500</v>
      </c>
      <c r="P58" s="495">
        <v>1200</v>
      </c>
      <c r="Q58" s="495">
        <f>SUM(Tableau3[[#This Row],[Janvier]:[Décembre]])</f>
        <v>97000</v>
      </c>
    </row>
    <row r="59" spans="1:17">
      <c r="A59" s="87" t="s">
        <v>43</v>
      </c>
      <c r="B59" s="50" t="s">
        <v>62</v>
      </c>
      <c r="C59" s="502"/>
      <c r="D59" s="516" t="s">
        <v>2019</v>
      </c>
      <c r="E59" s="563">
        <f>E54</f>
        <v>3361</v>
      </c>
      <c r="F59" s="563">
        <f>F54+Tableau3[[#This Row],[Janvier]]</f>
        <v>7857</v>
      </c>
      <c r="G59" s="563">
        <f>G54+Tableau3[[#This Row],[Février]]</f>
        <v>18787</v>
      </c>
      <c r="H59" s="563">
        <f>H54+Tableau3[[#This Row],[Mars]]</f>
        <v>18787</v>
      </c>
      <c r="I59" s="563">
        <f>I54+Tableau3[[#This Row],[Avril]]</f>
        <v>18787</v>
      </c>
      <c r="J59" s="563">
        <f>J54+Tableau3[[#This Row],[Mai]]</f>
        <v>18787</v>
      </c>
      <c r="K59" s="563">
        <f>K54+Tableau3[[#This Row],[Juin]]</f>
        <v>18787</v>
      </c>
      <c r="L59" s="563">
        <f>L54+Tableau3[[#This Row],[Juillet]]</f>
        <v>18787</v>
      </c>
      <c r="M59" s="563">
        <f>M54+Tableau3[[#This Row],[Août]]</f>
        <v>18787</v>
      </c>
      <c r="N59" s="563">
        <f>N54+Tableau3[[#This Row],[Septembre]]</f>
        <v>18787</v>
      </c>
      <c r="O59" s="563">
        <f>O54+Tableau3[[#This Row],[Octobre]]</f>
        <v>18787</v>
      </c>
      <c r="P59" s="563">
        <f>P54+Tableau3[[#This Row],[Novembre]]</f>
        <v>18787</v>
      </c>
      <c r="Q59" s="642"/>
    </row>
    <row r="60" spans="1:17">
      <c r="A60" s="87" t="s">
        <v>43</v>
      </c>
      <c r="B60" s="50" t="s">
        <v>62</v>
      </c>
      <c r="C60" s="48"/>
      <c r="D60" s="497" t="s">
        <v>2017</v>
      </c>
      <c r="E60" s="498">
        <f>E55</f>
        <v>7358</v>
      </c>
      <c r="F60" s="498">
        <f>F55+Tableau3[[#This Row],[Janvier]]</f>
        <v>7358</v>
      </c>
      <c r="G60" s="498">
        <f>G55+Tableau3[[#This Row],[Février]]</f>
        <v>8026</v>
      </c>
      <c r="H60" s="498">
        <f>H55+Tableau3[[#This Row],[Mars]]</f>
        <v>8026</v>
      </c>
      <c r="I60" s="498">
        <f>I55+Tableau3[[#This Row],[Avril]]</f>
        <v>8026</v>
      </c>
      <c r="J60" s="498">
        <f>J55+Tableau3[[#This Row],[Mai]]</f>
        <v>8026</v>
      </c>
      <c r="K60" s="498">
        <f>K55+Tableau3[[#This Row],[Juin]]</f>
        <v>8026</v>
      </c>
      <c r="L60" s="498">
        <f>L55+Tableau3[[#This Row],[Juillet]]</f>
        <v>8026</v>
      </c>
      <c r="M60" s="498">
        <f>M55+Tableau3[[#This Row],[Août]]</f>
        <v>8026</v>
      </c>
      <c r="N60" s="498">
        <f>N55+Tableau3[[#This Row],[Septembre]]</f>
        <v>8026</v>
      </c>
      <c r="O60" s="498">
        <f>O55+Tableau3[[#This Row],[Octobre]]</f>
        <v>8026</v>
      </c>
      <c r="P60" s="498">
        <f>P55+Tableau3[[#This Row],[Novembre]]</f>
        <v>8026</v>
      </c>
      <c r="Q60" s="643"/>
    </row>
    <row r="61" spans="1:17">
      <c r="A61" s="87" t="s">
        <v>43</v>
      </c>
      <c r="B61" s="50" t="s">
        <v>62</v>
      </c>
      <c r="C61" s="503" t="s">
        <v>2047</v>
      </c>
      <c r="D61" s="501" t="s">
        <v>95</v>
      </c>
      <c r="E61" s="500">
        <f>E54+E55</f>
        <v>10719</v>
      </c>
      <c r="F61" s="500">
        <f>(F54+F55)+Tableau3[[#This Row],[Janvier]]</f>
        <v>15215</v>
      </c>
      <c r="G61" s="500">
        <f>(G54+G55)+Tableau3[[#This Row],[Février]]</f>
        <v>26813</v>
      </c>
      <c r="H61" s="500">
        <f>(H54+H55)+Tableau3[[#This Row],[Mars]]</f>
        <v>26813</v>
      </c>
      <c r="I61" s="500">
        <f>(I54+I55)+Tableau3[[#This Row],[Avril]]</f>
        <v>26813</v>
      </c>
      <c r="J61" s="500">
        <f>(J54+J55)+Tableau3[[#This Row],[Mai]]</f>
        <v>26813</v>
      </c>
      <c r="K61" s="500">
        <f>(K54+K55)+Tableau3[[#This Row],[Juin]]</f>
        <v>26813</v>
      </c>
      <c r="L61" s="500">
        <f>(L54+L55)+Tableau3[[#This Row],[Juillet]]</f>
        <v>26813</v>
      </c>
      <c r="M61" s="500">
        <f>(M54+M55)+Tableau3[[#This Row],[Août]]</f>
        <v>26813</v>
      </c>
      <c r="N61" s="500">
        <f>(N54+N55)+Tableau3[[#This Row],[Septembre]]</f>
        <v>26813</v>
      </c>
      <c r="O61" s="500">
        <f>(O54+O55)+Tableau3[[#This Row],[Octobre]]</f>
        <v>26813</v>
      </c>
      <c r="P61" s="500">
        <f>(P54+P55)+Tableau3[[#This Row],[Novembre]]</f>
        <v>26813</v>
      </c>
      <c r="Q61" s="644"/>
    </row>
    <row r="62" spans="1:17">
      <c r="A62" s="87" t="s">
        <v>43</v>
      </c>
      <c r="B62" s="50" t="s">
        <v>62</v>
      </c>
      <c r="C62" s="48"/>
      <c r="D62" s="515" t="s">
        <v>2026</v>
      </c>
      <c r="E62" s="523">
        <f>E57</f>
        <v>9500</v>
      </c>
      <c r="F62" s="523">
        <f>F57+Tableau3[[#This Row],[Janvier]]</f>
        <v>26700</v>
      </c>
      <c r="G62" s="523">
        <f>G57+Tableau3[[#This Row],[Février]]</f>
        <v>44400</v>
      </c>
      <c r="H62" s="523">
        <f>H57+Tableau3[[#This Row],[Mars]]</f>
        <v>55900</v>
      </c>
      <c r="I62" s="523">
        <f>I57+Tableau3[[#This Row],[Avril]]</f>
        <v>63500</v>
      </c>
      <c r="J62" s="523">
        <f>J57+Tableau3[[#This Row],[Mai]]</f>
        <v>67500</v>
      </c>
      <c r="K62" s="523">
        <f>K57+Tableau3[[#This Row],[Juin]]</f>
        <v>77005</v>
      </c>
      <c r="L62" s="523">
        <f>L57+Tableau3[[#This Row],[Juillet]]</f>
        <v>84105</v>
      </c>
      <c r="M62" s="523">
        <f>M57+Tableau3[[#This Row],[Août]]</f>
        <v>95905</v>
      </c>
      <c r="N62" s="523">
        <f>N57+Tableau3[[#This Row],[Septembre]]</f>
        <v>106905</v>
      </c>
      <c r="O62" s="523">
        <f>O57+Tableau3[[#This Row],[Octobre]]</f>
        <v>110405</v>
      </c>
      <c r="P62" s="523">
        <f>P57+Tableau3[[#This Row],[Novembre]]</f>
        <v>111605</v>
      </c>
      <c r="Q62" s="645"/>
    </row>
    <row r="63" spans="1:17">
      <c r="A63" s="87" t="s">
        <v>43</v>
      </c>
      <c r="B63" s="50" t="s">
        <v>62</v>
      </c>
      <c r="C63" s="49"/>
      <c r="D63" s="504" t="s">
        <v>2030</v>
      </c>
      <c r="E63" s="505">
        <f>E58</f>
        <v>9500</v>
      </c>
      <c r="F63" s="505">
        <f>F58+Tableau3[[#This Row],[Janvier]]</f>
        <v>27900</v>
      </c>
      <c r="G63" s="505">
        <f>G58+Tableau3[[#This Row],[Février]]</f>
        <v>42600</v>
      </c>
      <c r="H63" s="505">
        <f>H58+Tableau3[[#This Row],[Mars]]</f>
        <v>51500</v>
      </c>
      <c r="I63" s="505">
        <f>I58+Tableau3[[#This Row],[Avril]]</f>
        <v>55100</v>
      </c>
      <c r="J63" s="505">
        <f>J58+Tableau3[[#This Row],[Mai]]</f>
        <v>56300</v>
      </c>
      <c r="K63" s="505">
        <f>K58+Tableau3[[#This Row],[Juin]]</f>
        <v>65100</v>
      </c>
      <c r="L63" s="505">
        <f>L58+Tableau3[[#This Row],[Juillet]]</f>
        <v>69500</v>
      </c>
      <c r="M63" s="505">
        <f>M58+Tableau3[[#This Row],[Août]]</f>
        <v>81300</v>
      </c>
      <c r="N63" s="505">
        <f>N58+Tableau3[[#This Row],[Septembre]]</f>
        <v>92300</v>
      </c>
      <c r="O63" s="505">
        <f>O58+Tableau3[[#This Row],[Octobre]]</f>
        <v>95800</v>
      </c>
      <c r="P63" s="505">
        <f>P58+Tableau3[[#This Row],[Novembre]]</f>
        <v>97000</v>
      </c>
      <c r="Q63" s="646"/>
    </row>
    <row r="64" spans="1:17" ht="15.75" thickBot="1">
      <c r="A64" s="87" t="s">
        <v>43</v>
      </c>
      <c r="B64" s="47" t="s">
        <v>62</v>
      </c>
      <c r="C64" s="549"/>
      <c r="D64" s="555" t="s">
        <v>78</v>
      </c>
      <c r="E64" s="551"/>
      <c r="F64" s="551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3"/>
    </row>
    <row r="65" spans="1:17" s="513" customFormat="1">
      <c r="A65" s="529" t="s">
        <v>43</v>
      </c>
      <c r="B65" s="530" t="s">
        <v>61</v>
      </c>
      <c r="C65" s="531"/>
      <c r="D65" s="532"/>
      <c r="E65" s="533" t="s">
        <v>29</v>
      </c>
      <c r="F65" s="533" t="s">
        <v>30</v>
      </c>
      <c r="G65" s="533" t="s">
        <v>31</v>
      </c>
      <c r="H65" s="533" t="s">
        <v>32</v>
      </c>
      <c r="I65" s="533" t="s">
        <v>33</v>
      </c>
      <c r="J65" s="533" t="s">
        <v>34</v>
      </c>
      <c r="K65" s="533" t="s">
        <v>35</v>
      </c>
      <c r="L65" s="533" t="s">
        <v>65</v>
      </c>
      <c r="M65" s="533" t="s">
        <v>37</v>
      </c>
      <c r="N65" s="533" t="s">
        <v>38</v>
      </c>
      <c r="O65" s="533" t="s">
        <v>39</v>
      </c>
      <c r="P65" s="534" t="s">
        <v>40</v>
      </c>
      <c r="Q65" s="535" t="s">
        <v>4</v>
      </c>
    </row>
    <row r="66" spans="1:17">
      <c r="A66" s="536" t="s">
        <v>43</v>
      </c>
      <c r="B66" s="50" t="s">
        <v>61</v>
      </c>
      <c r="C66" s="502"/>
      <c r="D66" s="41" t="s">
        <v>66</v>
      </c>
      <c r="E66" s="55">
        <v>2374</v>
      </c>
      <c r="F66" s="55">
        <v>4337</v>
      </c>
      <c r="G66" s="55">
        <v>603</v>
      </c>
      <c r="H66" s="55"/>
      <c r="I66" s="55"/>
      <c r="J66" s="55"/>
      <c r="K66" s="55"/>
      <c r="L66" s="55"/>
      <c r="M66" s="55"/>
      <c r="N66" s="55"/>
      <c r="O66" s="55"/>
      <c r="P66" s="56"/>
      <c r="Q66" s="537">
        <f>SUM(Tableau3[[#This Row],[Janvier]:[Décembre]])</f>
        <v>7314</v>
      </c>
    </row>
    <row r="67" spans="1:17">
      <c r="A67" s="536" t="s">
        <v>43</v>
      </c>
      <c r="B67" s="50" t="s">
        <v>61</v>
      </c>
      <c r="C67" s="48"/>
      <c r="D67" s="37" t="s">
        <v>67</v>
      </c>
      <c r="E67" s="99">
        <v>0</v>
      </c>
      <c r="F67" s="99">
        <v>0</v>
      </c>
      <c r="G67" s="99">
        <v>0</v>
      </c>
      <c r="H67" s="99"/>
      <c r="I67" s="99"/>
      <c r="J67" s="99"/>
      <c r="K67" s="99"/>
      <c r="L67" s="99"/>
      <c r="M67" s="99"/>
      <c r="N67" s="99"/>
      <c r="O67" s="99"/>
      <c r="P67" s="99"/>
      <c r="Q67" s="538">
        <f>SUM(Tableau3[[#This Row],[Janvier]:[Décembre]])</f>
        <v>0</v>
      </c>
    </row>
    <row r="68" spans="1:17">
      <c r="A68" s="536" t="s">
        <v>43</v>
      </c>
      <c r="B68" s="50" t="s">
        <v>61</v>
      </c>
      <c r="C68" s="503" t="s">
        <v>2024</v>
      </c>
      <c r="D68" s="506" t="s">
        <v>2018</v>
      </c>
      <c r="E68" s="499">
        <f>E66+E67</f>
        <v>2374</v>
      </c>
      <c r="F68" s="499">
        <f t="shared" ref="F68:P68" si="5">F66+F67</f>
        <v>4337</v>
      </c>
      <c r="G68" s="499">
        <f t="shared" si="5"/>
        <v>603</v>
      </c>
      <c r="H68" s="499">
        <f t="shared" si="5"/>
        <v>0</v>
      </c>
      <c r="I68" s="499">
        <f t="shared" si="5"/>
        <v>0</v>
      </c>
      <c r="J68" s="499">
        <f t="shared" si="5"/>
        <v>0</v>
      </c>
      <c r="K68" s="499">
        <f t="shared" si="5"/>
        <v>0</v>
      </c>
      <c r="L68" s="499">
        <f t="shared" si="5"/>
        <v>0</v>
      </c>
      <c r="M68" s="499">
        <f t="shared" si="5"/>
        <v>0</v>
      </c>
      <c r="N68" s="499">
        <f t="shared" si="5"/>
        <v>0</v>
      </c>
      <c r="O68" s="499">
        <f t="shared" si="5"/>
        <v>0</v>
      </c>
      <c r="P68" s="499">
        <f t="shared" si="5"/>
        <v>0</v>
      </c>
      <c r="Q68" s="539">
        <f>Q66+Q67</f>
        <v>7314</v>
      </c>
    </row>
    <row r="69" spans="1:17">
      <c r="A69" s="536" t="s">
        <v>43</v>
      </c>
      <c r="B69" s="50" t="s">
        <v>61</v>
      </c>
      <c r="C69" s="48"/>
      <c r="D69" s="90" t="s">
        <v>86</v>
      </c>
      <c r="E69" s="91">
        <v>5850</v>
      </c>
      <c r="F69" s="91">
        <v>8900</v>
      </c>
      <c r="G69" s="91">
        <v>1200</v>
      </c>
      <c r="H69" s="91">
        <v>8000</v>
      </c>
      <c r="I69" s="91">
        <v>0</v>
      </c>
      <c r="J69" s="91">
        <v>4800</v>
      </c>
      <c r="K69" s="91">
        <v>2400</v>
      </c>
      <c r="L69" s="91">
        <v>1100</v>
      </c>
      <c r="M69" s="91">
        <v>2200</v>
      </c>
      <c r="N69" s="91">
        <v>5400</v>
      </c>
      <c r="O69" s="91">
        <v>3300</v>
      </c>
      <c r="P69" s="91">
        <v>0</v>
      </c>
      <c r="Q69" s="540">
        <f>SUM(Tableau3[[#This Row],[Janvier]:[Décembre]])</f>
        <v>43150</v>
      </c>
    </row>
    <row r="70" spans="1:17">
      <c r="A70" s="536" t="s">
        <v>43</v>
      </c>
      <c r="B70" s="50" t="s">
        <v>61</v>
      </c>
      <c r="C70" s="49"/>
      <c r="D70" s="24" t="s">
        <v>1912</v>
      </c>
      <c r="E70" s="495">
        <v>5850</v>
      </c>
      <c r="F70" s="495">
        <v>8900</v>
      </c>
      <c r="G70" s="495">
        <v>1200</v>
      </c>
      <c r="H70" s="495">
        <v>8000</v>
      </c>
      <c r="I70" s="495">
        <v>0</v>
      </c>
      <c r="J70" s="495">
        <v>4800</v>
      </c>
      <c r="K70" s="495">
        <v>2400</v>
      </c>
      <c r="L70" s="495">
        <v>1100</v>
      </c>
      <c r="M70" s="495">
        <v>2200</v>
      </c>
      <c r="N70" s="495">
        <v>5400</v>
      </c>
      <c r="O70" s="495">
        <v>3300</v>
      </c>
      <c r="P70" s="495">
        <v>0</v>
      </c>
      <c r="Q70" s="541">
        <f>SUM(Tableau3[[#This Row],[Janvier]:[Décembre]])</f>
        <v>43150</v>
      </c>
    </row>
    <row r="71" spans="1:17">
      <c r="A71" s="536" t="s">
        <v>43</v>
      </c>
      <c r="B71" s="50" t="s">
        <v>61</v>
      </c>
      <c r="C71" s="502"/>
      <c r="D71" s="516" t="s">
        <v>2019</v>
      </c>
      <c r="E71" s="563">
        <f>E66</f>
        <v>2374</v>
      </c>
      <c r="F71" s="563">
        <f>F66+Tableau3[[#This Row],[Janvier]]</f>
        <v>6711</v>
      </c>
      <c r="G71" s="563">
        <f>G66+Tableau3[[#This Row],[Février]]</f>
        <v>7314</v>
      </c>
      <c r="H71" s="563">
        <f>H66+Tableau3[[#This Row],[Mars]]</f>
        <v>7314</v>
      </c>
      <c r="I71" s="563">
        <f>I66+Tableau3[[#This Row],[Avril]]</f>
        <v>7314</v>
      </c>
      <c r="J71" s="563">
        <f>J66+Tableau3[[#This Row],[Mai]]</f>
        <v>7314</v>
      </c>
      <c r="K71" s="563">
        <f>K66+Tableau3[[#This Row],[Juin]]</f>
        <v>7314</v>
      </c>
      <c r="L71" s="563">
        <f>L66+Tableau3[[#This Row],[Juillet]]</f>
        <v>7314</v>
      </c>
      <c r="M71" s="563">
        <f>M66+Tableau3[[#This Row],[Août]]</f>
        <v>7314</v>
      </c>
      <c r="N71" s="563">
        <f>N66+Tableau3[[#This Row],[Septembre]]</f>
        <v>7314</v>
      </c>
      <c r="O71" s="563">
        <f>O66+Tableau3[[#This Row],[Octobre]]</f>
        <v>7314</v>
      </c>
      <c r="P71" s="563">
        <f>P66+Tableau3[[#This Row],[Novembre]]</f>
        <v>7314</v>
      </c>
      <c r="Q71" s="642"/>
    </row>
    <row r="72" spans="1:17">
      <c r="A72" s="536" t="s">
        <v>43</v>
      </c>
      <c r="B72" s="50" t="s">
        <v>61</v>
      </c>
      <c r="C72" s="48"/>
      <c r="D72" s="497" t="s">
        <v>2017</v>
      </c>
      <c r="E72" s="498">
        <f>E67</f>
        <v>0</v>
      </c>
      <c r="F72" s="498">
        <f>F67+Tableau3[[#This Row],[Janvier]]</f>
        <v>0</v>
      </c>
      <c r="G72" s="498">
        <f>G67+Tableau3[[#This Row],[Février]]</f>
        <v>0</v>
      </c>
      <c r="H72" s="498">
        <f>H67+Tableau3[[#This Row],[Mars]]</f>
        <v>0</v>
      </c>
      <c r="I72" s="498">
        <f>I67+Tableau3[[#This Row],[Avril]]</f>
        <v>0</v>
      </c>
      <c r="J72" s="498">
        <f>J67+Tableau3[[#This Row],[Mai]]</f>
        <v>0</v>
      </c>
      <c r="K72" s="498">
        <f>K67+Tableau3[[#This Row],[Juin]]</f>
        <v>0</v>
      </c>
      <c r="L72" s="498">
        <f>L67+Tableau3[[#This Row],[Juillet]]</f>
        <v>0</v>
      </c>
      <c r="M72" s="498">
        <f>M67+Tableau3[[#This Row],[Août]]</f>
        <v>0</v>
      </c>
      <c r="N72" s="498">
        <f>N67+Tableau3[[#This Row],[Septembre]]</f>
        <v>0</v>
      </c>
      <c r="O72" s="498">
        <f>O67+Tableau3[[#This Row],[Octobre]]</f>
        <v>0</v>
      </c>
      <c r="P72" s="498">
        <f>P67+Tableau3[[#This Row],[Novembre]]</f>
        <v>0</v>
      </c>
      <c r="Q72" s="643"/>
    </row>
    <row r="73" spans="1:17">
      <c r="A73" s="536" t="s">
        <v>43</v>
      </c>
      <c r="B73" s="50" t="s">
        <v>61</v>
      </c>
      <c r="C73" s="503" t="s">
        <v>2047</v>
      </c>
      <c r="D73" s="501" t="s">
        <v>95</v>
      </c>
      <c r="E73" s="500">
        <f>E66+E67</f>
        <v>2374</v>
      </c>
      <c r="F73" s="500">
        <f>(F66+F67)+Tableau3[[#This Row],[Janvier]]</f>
        <v>6711</v>
      </c>
      <c r="G73" s="500">
        <f>(G66+G67)+Tableau3[[#This Row],[Février]]</f>
        <v>7314</v>
      </c>
      <c r="H73" s="500">
        <f>(H66+H67)+Tableau3[[#This Row],[Mars]]</f>
        <v>7314</v>
      </c>
      <c r="I73" s="500">
        <f>(I66+I67)+Tableau3[[#This Row],[Avril]]</f>
        <v>7314</v>
      </c>
      <c r="J73" s="500">
        <f>(J66+J67)+Tableau3[[#This Row],[Mai]]</f>
        <v>7314</v>
      </c>
      <c r="K73" s="500">
        <f>(K66+K67)+Tableau3[[#This Row],[Juin]]</f>
        <v>7314</v>
      </c>
      <c r="L73" s="500">
        <f>(L66+L67)+Tableau3[[#This Row],[Juillet]]</f>
        <v>7314</v>
      </c>
      <c r="M73" s="500">
        <f>(M66+M67)+Tableau3[[#This Row],[Août]]</f>
        <v>7314</v>
      </c>
      <c r="N73" s="500">
        <f>(N66+N67)+Tableau3[[#This Row],[Septembre]]</f>
        <v>7314</v>
      </c>
      <c r="O73" s="500">
        <f>(O66+O67)+Tableau3[[#This Row],[Octobre]]</f>
        <v>7314</v>
      </c>
      <c r="P73" s="500">
        <f>(P66+P67)+Tableau3[[#This Row],[Novembre]]</f>
        <v>7314</v>
      </c>
      <c r="Q73" s="644"/>
    </row>
    <row r="74" spans="1:17">
      <c r="A74" s="536" t="s">
        <v>43</v>
      </c>
      <c r="B74" s="50" t="s">
        <v>61</v>
      </c>
      <c r="C74" s="48"/>
      <c r="D74" s="515" t="s">
        <v>2026</v>
      </c>
      <c r="E74" s="523">
        <f>E69</f>
        <v>5850</v>
      </c>
      <c r="F74" s="523">
        <f>F69+Tableau3[[#This Row],[Janvier]]</f>
        <v>14750</v>
      </c>
      <c r="G74" s="523">
        <f>G69+Tableau3[[#This Row],[Février]]</f>
        <v>15950</v>
      </c>
      <c r="H74" s="523">
        <f>H69+Tableau3[[#This Row],[Mars]]</f>
        <v>23950</v>
      </c>
      <c r="I74" s="523">
        <f>I69+Tableau3[[#This Row],[Avril]]</f>
        <v>23950</v>
      </c>
      <c r="J74" s="523">
        <f>J69+Tableau3[[#This Row],[Mai]]</f>
        <v>28750</v>
      </c>
      <c r="K74" s="523">
        <f>K69+Tableau3[[#This Row],[Juin]]</f>
        <v>31150</v>
      </c>
      <c r="L74" s="523">
        <f>L69+Tableau3[[#This Row],[Juillet]]</f>
        <v>32250</v>
      </c>
      <c r="M74" s="523">
        <f>M69+Tableau3[[#This Row],[Août]]</f>
        <v>34450</v>
      </c>
      <c r="N74" s="523">
        <f>N69+Tableau3[[#This Row],[Septembre]]</f>
        <v>39850</v>
      </c>
      <c r="O74" s="523">
        <f>O69+Tableau3[[#This Row],[Octobre]]</f>
        <v>43150</v>
      </c>
      <c r="P74" s="523">
        <f>P69+Tableau3[[#This Row],[Novembre]]</f>
        <v>43150</v>
      </c>
      <c r="Q74" s="645"/>
    </row>
    <row r="75" spans="1:17">
      <c r="A75" s="536" t="s">
        <v>43</v>
      </c>
      <c r="B75" s="50" t="s">
        <v>61</v>
      </c>
      <c r="C75" s="49"/>
      <c r="D75" s="504" t="s">
        <v>2030</v>
      </c>
      <c r="E75" s="505">
        <f>E70</f>
        <v>5850</v>
      </c>
      <c r="F75" s="505">
        <f>F70+Tableau3[[#This Row],[Janvier]]</f>
        <v>14750</v>
      </c>
      <c r="G75" s="505">
        <f>G70+Tableau3[[#This Row],[Février]]</f>
        <v>15950</v>
      </c>
      <c r="H75" s="505">
        <f>H70+Tableau3[[#This Row],[Mars]]</f>
        <v>23950</v>
      </c>
      <c r="I75" s="505">
        <f>I70+Tableau3[[#This Row],[Avril]]</f>
        <v>23950</v>
      </c>
      <c r="J75" s="505">
        <f>J70+Tableau3[[#This Row],[Mai]]</f>
        <v>28750</v>
      </c>
      <c r="K75" s="505">
        <f>K70+Tableau3[[#This Row],[Juin]]</f>
        <v>31150</v>
      </c>
      <c r="L75" s="505">
        <f>L70+Tableau3[[#This Row],[Juillet]]</f>
        <v>32250</v>
      </c>
      <c r="M75" s="505">
        <f>M70+Tableau3[[#This Row],[Août]]</f>
        <v>34450</v>
      </c>
      <c r="N75" s="505">
        <f>N70+Tableau3[[#This Row],[Septembre]]</f>
        <v>39850</v>
      </c>
      <c r="O75" s="505">
        <f>O70+Tableau3[[#This Row],[Octobre]]</f>
        <v>43150</v>
      </c>
      <c r="P75" s="505">
        <f>P70+Tableau3[[#This Row],[Novembre]]</f>
        <v>43150</v>
      </c>
      <c r="Q75" s="646"/>
    </row>
    <row r="76" spans="1:17" ht="15.75" thickBot="1">
      <c r="A76" s="547" t="s">
        <v>43</v>
      </c>
      <c r="B76" s="519" t="s">
        <v>61</v>
      </c>
      <c r="C76" s="554"/>
      <c r="D76" s="520" t="s">
        <v>78</v>
      </c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1"/>
      <c r="Q76" s="548"/>
    </row>
    <row r="77" spans="1:17" s="513" customFormat="1">
      <c r="A77" s="511" t="s">
        <v>43</v>
      </c>
      <c r="B77" s="517" t="s">
        <v>60</v>
      </c>
      <c r="C77" s="510"/>
      <c r="D77" s="512"/>
      <c r="E77" s="507" t="s">
        <v>29</v>
      </c>
      <c r="F77" s="507" t="s">
        <v>30</v>
      </c>
      <c r="G77" s="507" t="s">
        <v>31</v>
      </c>
      <c r="H77" s="507" t="s">
        <v>32</v>
      </c>
      <c r="I77" s="507" t="s">
        <v>33</v>
      </c>
      <c r="J77" s="507" t="s">
        <v>34</v>
      </c>
      <c r="K77" s="507" t="s">
        <v>35</v>
      </c>
      <c r="L77" s="507" t="s">
        <v>65</v>
      </c>
      <c r="M77" s="507" t="s">
        <v>37</v>
      </c>
      <c r="N77" s="507" t="s">
        <v>38</v>
      </c>
      <c r="O77" s="507" t="s">
        <v>39</v>
      </c>
      <c r="P77" s="508" t="s">
        <v>40</v>
      </c>
      <c r="Q77" s="509" t="s">
        <v>4</v>
      </c>
    </row>
    <row r="78" spans="1:17">
      <c r="A78" s="87" t="s">
        <v>43</v>
      </c>
      <c r="B78" s="50" t="s">
        <v>60</v>
      </c>
      <c r="C78" s="502"/>
      <c r="D78" s="41" t="s">
        <v>66</v>
      </c>
      <c r="E78" s="55">
        <v>15584</v>
      </c>
      <c r="F78" s="55">
        <v>30149</v>
      </c>
      <c r="G78" s="55">
        <v>31194</v>
      </c>
      <c r="H78" s="55"/>
      <c r="I78" s="55"/>
      <c r="J78" s="55"/>
      <c r="K78" s="55"/>
      <c r="L78" s="55"/>
      <c r="M78" s="55"/>
      <c r="N78" s="55"/>
      <c r="O78" s="55"/>
      <c r="P78" s="56"/>
      <c r="Q78" s="56">
        <f>SUM(Tableau3[[#This Row],[Janvier]:[Décembre]])</f>
        <v>76927</v>
      </c>
    </row>
    <row r="79" spans="1:17">
      <c r="A79" s="87" t="s">
        <v>43</v>
      </c>
      <c r="B79" s="50" t="s">
        <v>60</v>
      </c>
      <c r="C79" s="48"/>
      <c r="D79" s="37" t="s">
        <v>67</v>
      </c>
      <c r="E79" s="99">
        <v>395</v>
      </c>
      <c r="F79" s="99">
        <v>6451</v>
      </c>
      <c r="G79" s="99">
        <v>1002</v>
      </c>
      <c r="H79" s="99"/>
      <c r="I79" s="99"/>
      <c r="J79" s="99"/>
      <c r="K79" s="99"/>
      <c r="L79" s="99"/>
      <c r="M79" s="99"/>
      <c r="N79" s="99"/>
      <c r="O79" s="99"/>
      <c r="P79" s="99"/>
      <c r="Q79" s="100">
        <f>SUM(Tableau3[[#This Row],[Janvier]:[Décembre]])</f>
        <v>7848</v>
      </c>
    </row>
    <row r="80" spans="1:17">
      <c r="A80" s="87" t="s">
        <v>43</v>
      </c>
      <c r="B80" s="50" t="s">
        <v>60</v>
      </c>
      <c r="C80" s="503" t="s">
        <v>2024</v>
      </c>
      <c r="D80" s="506" t="s">
        <v>2018</v>
      </c>
      <c r="E80" s="564">
        <f>E78+E79</f>
        <v>15979</v>
      </c>
      <c r="F80" s="564">
        <f>F78+F79</f>
        <v>36600</v>
      </c>
      <c r="G80" s="564">
        <f t="shared" ref="G80:P80" si="6">G78+G79</f>
        <v>32196</v>
      </c>
      <c r="H80" s="564">
        <f t="shared" si="6"/>
        <v>0</v>
      </c>
      <c r="I80" s="564">
        <f t="shared" si="6"/>
        <v>0</v>
      </c>
      <c r="J80" s="564">
        <f t="shared" si="6"/>
        <v>0</v>
      </c>
      <c r="K80" s="564">
        <f t="shared" si="6"/>
        <v>0</v>
      </c>
      <c r="L80" s="564">
        <f t="shared" si="6"/>
        <v>0</v>
      </c>
      <c r="M80" s="564">
        <f t="shared" si="6"/>
        <v>0</v>
      </c>
      <c r="N80" s="564">
        <f t="shared" si="6"/>
        <v>0</v>
      </c>
      <c r="O80" s="564">
        <f t="shared" si="6"/>
        <v>0</v>
      </c>
      <c r="P80" s="564">
        <f t="shared" si="6"/>
        <v>0</v>
      </c>
      <c r="Q80" s="565">
        <f>Q78+Q79</f>
        <v>84775</v>
      </c>
    </row>
    <row r="81" spans="1:17">
      <c r="A81" s="87" t="s">
        <v>43</v>
      </c>
      <c r="B81" s="50" t="s">
        <v>60</v>
      </c>
      <c r="C81" s="48"/>
      <c r="D81" s="90" t="s">
        <v>86</v>
      </c>
      <c r="E81" s="91">
        <v>40300</v>
      </c>
      <c r="F81" s="91">
        <v>36406</v>
      </c>
      <c r="G81" s="91">
        <v>36100</v>
      </c>
      <c r="H81" s="91">
        <v>24400</v>
      </c>
      <c r="I81" s="91">
        <v>25500</v>
      </c>
      <c r="J81" s="91">
        <v>32200</v>
      </c>
      <c r="K81" s="91">
        <v>15200</v>
      </c>
      <c r="L81" s="91">
        <v>20200</v>
      </c>
      <c r="M81" s="91">
        <v>27800</v>
      </c>
      <c r="N81" s="91">
        <v>35800</v>
      </c>
      <c r="O81" s="91">
        <v>33800</v>
      </c>
      <c r="P81" s="91">
        <v>12600</v>
      </c>
      <c r="Q81" s="91">
        <f>SUM(Tableau3[[#This Row],[Janvier]:[Décembre]])</f>
        <v>340306</v>
      </c>
    </row>
    <row r="82" spans="1:17">
      <c r="A82" s="87" t="s">
        <v>43</v>
      </c>
      <c r="B82" s="50" t="s">
        <v>60</v>
      </c>
      <c r="C82" s="49"/>
      <c r="D82" s="24" t="s">
        <v>1912</v>
      </c>
      <c r="E82" s="495">
        <v>40300</v>
      </c>
      <c r="F82" s="495">
        <v>34206</v>
      </c>
      <c r="G82" s="495">
        <v>39756</v>
      </c>
      <c r="H82" s="495">
        <v>23600</v>
      </c>
      <c r="I82" s="495">
        <v>19550</v>
      </c>
      <c r="J82" s="495">
        <v>28400</v>
      </c>
      <c r="K82" s="495">
        <v>18200</v>
      </c>
      <c r="L82" s="495">
        <v>19600</v>
      </c>
      <c r="M82" s="495">
        <v>29800</v>
      </c>
      <c r="N82" s="495">
        <v>42154</v>
      </c>
      <c r="O82" s="495">
        <v>35600</v>
      </c>
      <c r="P82" s="495">
        <v>17200</v>
      </c>
      <c r="Q82" s="495">
        <f>SUM(Tableau3[[#This Row],[Janvier]:[Décembre]])</f>
        <v>348366</v>
      </c>
    </row>
    <row r="83" spans="1:17">
      <c r="A83" s="87" t="s">
        <v>43</v>
      </c>
      <c r="B83" s="50" t="s">
        <v>60</v>
      </c>
      <c r="C83" s="502"/>
      <c r="D83" s="516" t="s">
        <v>2019</v>
      </c>
      <c r="E83" s="563">
        <f>E78</f>
        <v>15584</v>
      </c>
      <c r="F83" s="563">
        <f>F78+Tableau3[[#This Row],[Janvier]]</f>
        <v>45733</v>
      </c>
      <c r="G83" s="563">
        <f>G78+Tableau3[[#This Row],[Février]]</f>
        <v>76927</v>
      </c>
      <c r="H83" s="563">
        <f>H78+Tableau3[[#This Row],[Mars]]</f>
        <v>76927</v>
      </c>
      <c r="I83" s="563">
        <f>I78+Tableau3[[#This Row],[Avril]]</f>
        <v>76927</v>
      </c>
      <c r="J83" s="563">
        <f>J78+Tableau3[[#This Row],[Mai]]</f>
        <v>76927</v>
      </c>
      <c r="K83" s="563">
        <f>K78+Tableau3[[#This Row],[Juin]]</f>
        <v>76927</v>
      </c>
      <c r="L83" s="563">
        <f>L78+Tableau3[[#This Row],[Juillet]]</f>
        <v>76927</v>
      </c>
      <c r="M83" s="563">
        <f>M78+Tableau3[[#This Row],[Août]]</f>
        <v>76927</v>
      </c>
      <c r="N83" s="563">
        <f>N78+Tableau3[[#This Row],[Septembre]]</f>
        <v>76927</v>
      </c>
      <c r="O83" s="563">
        <f>O78+Tableau3[[#This Row],[Octobre]]</f>
        <v>76927</v>
      </c>
      <c r="P83" s="563">
        <f>P78+Tableau3[[#This Row],[Novembre]]</f>
        <v>76927</v>
      </c>
      <c r="Q83" s="642"/>
    </row>
    <row r="84" spans="1:17">
      <c r="A84" s="87" t="s">
        <v>43</v>
      </c>
      <c r="B84" s="50" t="s">
        <v>60</v>
      </c>
      <c r="C84" s="48"/>
      <c r="D84" s="497" t="s">
        <v>2017</v>
      </c>
      <c r="E84" s="498">
        <f>E79</f>
        <v>395</v>
      </c>
      <c r="F84" s="498">
        <f>F79+Tableau3[[#This Row],[Janvier]]</f>
        <v>6846</v>
      </c>
      <c r="G84" s="498">
        <f>G79+Tableau3[[#This Row],[Février]]</f>
        <v>7848</v>
      </c>
      <c r="H84" s="498">
        <f>H79+Tableau3[[#This Row],[Mars]]</f>
        <v>7848</v>
      </c>
      <c r="I84" s="498">
        <f>I79+Tableau3[[#This Row],[Avril]]</f>
        <v>7848</v>
      </c>
      <c r="J84" s="498">
        <f>J79+Tableau3[[#This Row],[Mai]]</f>
        <v>7848</v>
      </c>
      <c r="K84" s="498">
        <f>K79+Tableau3[[#This Row],[Juin]]</f>
        <v>7848</v>
      </c>
      <c r="L84" s="498">
        <f>L79+Tableau3[[#This Row],[Juillet]]</f>
        <v>7848</v>
      </c>
      <c r="M84" s="498">
        <f>M79+Tableau3[[#This Row],[Août]]</f>
        <v>7848</v>
      </c>
      <c r="N84" s="498">
        <f>N79+Tableau3[[#This Row],[Septembre]]</f>
        <v>7848</v>
      </c>
      <c r="O84" s="498">
        <f>O79+Tableau3[[#This Row],[Octobre]]</f>
        <v>7848</v>
      </c>
      <c r="P84" s="498">
        <f>P79+Tableau3[[#This Row],[Février]]</f>
        <v>6846</v>
      </c>
      <c r="Q84" s="643"/>
    </row>
    <row r="85" spans="1:17">
      <c r="A85" s="87" t="s">
        <v>43</v>
      </c>
      <c r="B85" s="50" t="s">
        <v>60</v>
      </c>
      <c r="C85" s="503" t="s">
        <v>2047</v>
      </c>
      <c r="D85" s="501" t="s">
        <v>95</v>
      </c>
      <c r="E85" s="500">
        <f>E78+E79</f>
        <v>15979</v>
      </c>
      <c r="F85" s="500">
        <f>(F78+F79)+Tableau3[[#This Row],[Janvier]]</f>
        <v>52579</v>
      </c>
      <c r="G85" s="500">
        <f>(G78+G79)+Tableau3[[#This Row],[Février]]</f>
        <v>84775</v>
      </c>
      <c r="H85" s="500">
        <f>(H78+H79)+Tableau3[[#This Row],[Mars]]</f>
        <v>84775</v>
      </c>
      <c r="I85" s="500">
        <f>(I78+I79)+Tableau3[[#This Row],[Avril]]</f>
        <v>84775</v>
      </c>
      <c r="J85" s="500">
        <f>(J78+J79)+Tableau3[[#This Row],[Mai]]</f>
        <v>84775</v>
      </c>
      <c r="K85" s="500">
        <f>(K78+K79)+Tableau3[[#This Row],[Juin]]</f>
        <v>84775</v>
      </c>
      <c r="L85" s="500">
        <f>(L78+L79)+Tableau3[[#This Row],[Juillet]]</f>
        <v>84775</v>
      </c>
      <c r="M85" s="500">
        <f>(M78+M79)+Tableau3[[#This Row],[Août]]</f>
        <v>84775</v>
      </c>
      <c r="N85" s="500">
        <f>(N78+N79)+Tableau3[[#This Row],[Septembre]]</f>
        <v>84775</v>
      </c>
      <c r="O85" s="500">
        <f>(O78+O79)+Tableau3[[#This Row],[Octobre]]</f>
        <v>84775</v>
      </c>
      <c r="P85" s="500">
        <f>(P78+P79)+Tableau3[[#This Row],[Novembre]]</f>
        <v>84775</v>
      </c>
      <c r="Q85" s="644"/>
    </row>
    <row r="86" spans="1:17">
      <c r="A86" s="87" t="s">
        <v>43</v>
      </c>
      <c r="B86" s="50" t="s">
        <v>60</v>
      </c>
      <c r="C86" s="48"/>
      <c r="D86" s="515" t="s">
        <v>2026</v>
      </c>
      <c r="E86" s="523">
        <f>E81</f>
        <v>40300</v>
      </c>
      <c r="F86" s="523">
        <f>F81+Tableau3[[#This Row],[Janvier]]</f>
        <v>76706</v>
      </c>
      <c r="G86" s="523">
        <f>G81+Tableau3[[#This Row],[Février]]</f>
        <v>112806</v>
      </c>
      <c r="H86" s="523">
        <f>H81+Tableau3[[#This Row],[Mars]]</f>
        <v>137206</v>
      </c>
      <c r="I86" s="523">
        <f>I81+Tableau3[[#This Row],[Avril]]</f>
        <v>162706</v>
      </c>
      <c r="J86" s="523">
        <f>J81+Tableau3[[#This Row],[Mai]]</f>
        <v>194906</v>
      </c>
      <c r="K86" s="523">
        <f>K81+Tableau3[[#This Row],[Juin]]</f>
        <v>210106</v>
      </c>
      <c r="L86" s="523">
        <f>L81+Tableau3[[#This Row],[Juillet]]</f>
        <v>230306</v>
      </c>
      <c r="M86" s="523">
        <f>M81+Tableau3[[#This Row],[Août]]</f>
        <v>258106</v>
      </c>
      <c r="N86" s="523">
        <f>N81+Tableau3[[#This Row],[Septembre]]</f>
        <v>293906</v>
      </c>
      <c r="O86" s="523">
        <f>O81+Tableau3[[#This Row],[Octobre]]</f>
        <v>327706</v>
      </c>
      <c r="P86" s="523">
        <f>P81+Tableau3[[#This Row],[Novembre]]</f>
        <v>340306</v>
      </c>
      <c r="Q86" s="645"/>
    </row>
    <row r="87" spans="1:17">
      <c r="A87" s="87" t="s">
        <v>43</v>
      </c>
      <c r="B87" s="50" t="s">
        <v>60</v>
      </c>
      <c r="C87" s="49"/>
      <c r="D87" s="504" t="s">
        <v>2030</v>
      </c>
      <c r="E87" s="505">
        <f>E82</f>
        <v>40300</v>
      </c>
      <c r="F87" s="505">
        <f>F82+Tableau3[[#This Row],[Janvier]]</f>
        <v>74506</v>
      </c>
      <c r="G87" s="505">
        <f>G82+Tableau3[[#This Row],[Février]]</f>
        <v>114262</v>
      </c>
      <c r="H87" s="505">
        <f>H82+Tableau3[[#This Row],[Mars]]</f>
        <v>137862</v>
      </c>
      <c r="I87" s="505">
        <f>I82+Tableau3[[#This Row],[Avril]]</f>
        <v>157412</v>
      </c>
      <c r="J87" s="505">
        <f>J82+Tableau3[[#This Row],[Mai]]</f>
        <v>185812</v>
      </c>
      <c r="K87" s="505">
        <f>K82+Tableau3[[#This Row],[Juin]]</f>
        <v>204012</v>
      </c>
      <c r="L87" s="505">
        <f>L82+Tableau3[[#This Row],[Juillet]]</f>
        <v>223612</v>
      </c>
      <c r="M87" s="505">
        <f>M82+Tableau3[[#This Row],[Août]]</f>
        <v>253412</v>
      </c>
      <c r="N87" s="505">
        <f>N82+Tableau3[[#This Row],[Septembre]]</f>
        <v>295566</v>
      </c>
      <c r="O87" s="505">
        <f>O82+Tableau3[[#This Row],[Octobre]]</f>
        <v>331166</v>
      </c>
      <c r="P87" s="505">
        <f>P82+Tableau3[[#This Row],[Novembre]]</f>
        <v>348366</v>
      </c>
      <c r="Q87" s="646"/>
    </row>
    <row r="88" spans="1:17" ht="15.75" thickBot="1">
      <c r="A88" s="87" t="s">
        <v>43</v>
      </c>
      <c r="B88" s="47" t="s">
        <v>60</v>
      </c>
      <c r="C88" s="549"/>
      <c r="D88" s="555" t="s">
        <v>78</v>
      </c>
      <c r="E88" s="551"/>
      <c r="F88" s="551"/>
      <c r="G88" s="551"/>
      <c r="H88" s="551"/>
      <c r="I88" s="551"/>
      <c r="J88" s="551"/>
      <c r="K88" s="551"/>
      <c r="L88" s="551"/>
      <c r="M88" s="551"/>
      <c r="N88" s="551"/>
      <c r="O88" s="551"/>
      <c r="P88" s="551"/>
      <c r="Q88" s="553"/>
    </row>
    <row r="89" spans="1:17" s="513" customFormat="1">
      <c r="A89" s="529" t="s">
        <v>43</v>
      </c>
      <c r="B89" s="530" t="s">
        <v>2015</v>
      </c>
      <c r="C89" s="531"/>
      <c r="D89" s="532"/>
      <c r="E89" s="533" t="s">
        <v>29</v>
      </c>
      <c r="F89" s="533" t="s">
        <v>30</v>
      </c>
      <c r="G89" s="533" t="s">
        <v>31</v>
      </c>
      <c r="H89" s="533" t="s">
        <v>32</v>
      </c>
      <c r="I89" s="533" t="s">
        <v>33</v>
      </c>
      <c r="J89" s="533" t="s">
        <v>34</v>
      </c>
      <c r="K89" s="533" t="s">
        <v>35</v>
      </c>
      <c r="L89" s="533" t="s">
        <v>65</v>
      </c>
      <c r="M89" s="533" t="s">
        <v>37</v>
      </c>
      <c r="N89" s="533" t="s">
        <v>38</v>
      </c>
      <c r="O89" s="533" t="s">
        <v>39</v>
      </c>
      <c r="P89" s="534" t="s">
        <v>40</v>
      </c>
      <c r="Q89" s="535" t="s">
        <v>4</v>
      </c>
    </row>
    <row r="90" spans="1:17">
      <c r="A90" s="536" t="s">
        <v>43</v>
      </c>
      <c r="B90" s="50" t="s">
        <v>2015</v>
      </c>
      <c r="C90" s="502"/>
      <c r="D90" s="41" t="s">
        <v>66</v>
      </c>
      <c r="E90" s="55">
        <v>10742</v>
      </c>
      <c r="F90" s="55">
        <v>4028</v>
      </c>
      <c r="G90" s="55">
        <v>3093</v>
      </c>
      <c r="H90" s="55"/>
      <c r="I90" s="55"/>
      <c r="J90" s="55"/>
      <c r="K90" s="55"/>
      <c r="L90" s="55"/>
      <c r="M90" s="55"/>
      <c r="N90" s="55"/>
      <c r="O90" s="55"/>
      <c r="P90" s="56"/>
      <c r="Q90" s="537">
        <f>SUM(Tableau3[[#This Row],[Janvier]:[Décembre]])</f>
        <v>17863</v>
      </c>
    </row>
    <row r="91" spans="1:17">
      <c r="A91" s="536" t="s">
        <v>43</v>
      </c>
      <c r="B91" s="50" t="s">
        <v>2015</v>
      </c>
      <c r="C91" s="48"/>
      <c r="D91" s="37" t="s">
        <v>67</v>
      </c>
      <c r="E91" s="99">
        <v>0</v>
      </c>
      <c r="F91" s="99">
        <v>0</v>
      </c>
      <c r="G91" s="99">
        <v>0</v>
      </c>
      <c r="H91" s="99"/>
      <c r="I91" s="99"/>
      <c r="J91" s="99"/>
      <c r="K91" s="99"/>
      <c r="L91" s="99"/>
      <c r="M91" s="99"/>
      <c r="N91" s="99"/>
      <c r="O91" s="99"/>
      <c r="P91" s="99"/>
      <c r="Q91" s="538">
        <f>SUM(Tableau3[[#This Row],[Janvier]:[Décembre]])</f>
        <v>0</v>
      </c>
    </row>
    <row r="92" spans="1:17">
      <c r="A92" s="536" t="s">
        <v>43</v>
      </c>
      <c r="B92" s="50" t="s">
        <v>2015</v>
      </c>
      <c r="C92" s="503" t="s">
        <v>2024</v>
      </c>
      <c r="D92" s="506" t="s">
        <v>2018</v>
      </c>
      <c r="E92" s="499">
        <f>E90+E91</f>
        <v>10742</v>
      </c>
      <c r="F92" s="499">
        <f>F90+F91</f>
        <v>4028</v>
      </c>
      <c r="G92" s="499">
        <f t="shared" ref="G92:P92" si="7">G90+G91</f>
        <v>3093</v>
      </c>
      <c r="H92" s="499">
        <f t="shared" si="7"/>
        <v>0</v>
      </c>
      <c r="I92" s="499">
        <f t="shared" si="7"/>
        <v>0</v>
      </c>
      <c r="J92" s="499">
        <f t="shared" si="7"/>
        <v>0</v>
      </c>
      <c r="K92" s="499">
        <f t="shared" si="7"/>
        <v>0</v>
      </c>
      <c r="L92" s="499">
        <f t="shared" si="7"/>
        <v>0</v>
      </c>
      <c r="M92" s="499">
        <f t="shared" si="7"/>
        <v>0</v>
      </c>
      <c r="N92" s="499">
        <f t="shared" si="7"/>
        <v>0</v>
      </c>
      <c r="O92" s="499">
        <f t="shared" si="7"/>
        <v>0</v>
      </c>
      <c r="P92" s="499">
        <f t="shared" si="7"/>
        <v>0</v>
      </c>
      <c r="Q92" s="539">
        <f>Q90+Q91</f>
        <v>17863</v>
      </c>
    </row>
    <row r="93" spans="1:17">
      <c r="A93" s="536" t="s">
        <v>43</v>
      </c>
      <c r="B93" s="50" t="s">
        <v>2015</v>
      </c>
      <c r="C93" s="48"/>
      <c r="D93" s="90" t="s">
        <v>86</v>
      </c>
      <c r="E93" s="91">
        <v>15600</v>
      </c>
      <c r="F93" s="91">
        <v>7900</v>
      </c>
      <c r="G93" s="91">
        <v>4100</v>
      </c>
      <c r="H93" s="91">
        <v>7900</v>
      </c>
      <c r="I93" s="91">
        <v>19300</v>
      </c>
      <c r="J93" s="91">
        <v>16200</v>
      </c>
      <c r="K93" s="91">
        <v>14144</v>
      </c>
      <c r="L93" s="91">
        <v>9200</v>
      </c>
      <c r="M93" s="91">
        <v>9300</v>
      </c>
      <c r="N93" s="91">
        <v>12200</v>
      </c>
      <c r="O93" s="91">
        <v>16000</v>
      </c>
      <c r="P93" s="91">
        <v>8000</v>
      </c>
      <c r="Q93" s="540">
        <f>SUM(Tableau3[[#This Row],[Janvier]:[Décembre]])</f>
        <v>139844</v>
      </c>
    </row>
    <row r="94" spans="1:17">
      <c r="A94" s="536" t="s">
        <v>43</v>
      </c>
      <c r="B94" s="50" t="s">
        <v>2015</v>
      </c>
      <c r="C94" s="49"/>
      <c r="D94" s="24" t="s">
        <v>1912</v>
      </c>
      <c r="E94" s="495">
        <v>15600</v>
      </c>
      <c r="F94" s="495">
        <v>9100</v>
      </c>
      <c r="G94" s="495">
        <v>6500</v>
      </c>
      <c r="H94" s="495">
        <v>27100</v>
      </c>
      <c r="I94" s="495">
        <v>18500</v>
      </c>
      <c r="J94" s="495">
        <v>20200</v>
      </c>
      <c r="K94" s="495">
        <v>26644</v>
      </c>
      <c r="L94" s="495">
        <v>14400</v>
      </c>
      <c r="M94" s="495">
        <v>1600</v>
      </c>
      <c r="N94" s="495">
        <v>700</v>
      </c>
      <c r="O94" s="495">
        <v>16000</v>
      </c>
      <c r="P94" s="495">
        <v>8000</v>
      </c>
      <c r="Q94" s="541">
        <f>SUM(Tableau3[[#This Row],[Janvier]:[Décembre]])</f>
        <v>164344</v>
      </c>
    </row>
    <row r="95" spans="1:17">
      <c r="A95" s="536" t="s">
        <v>43</v>
      </c>
      <c r="B95" s="50" t="s">
        <v>2015</v>
      </c>
      <c r="C95" s="502"/>
      <c r="D95" s="516" t="s">
        <v>2019</v>
      </c>
      <c r="E95" s="563">
        <f>E90</f>
        <v>10742</v>
      </c>
      <c r="F95" s="563">
        <f>F90+Tableau3[[#This Row],[Janvier]]</f>
        <v>14770</v>
      </c>
      <c r="G95" s="563">
        <f>G90+Tableau3[[#This Row],[Février]]</f>
        <v>17863</v>
      </c>
      <c r="H95" s="563">
        <f>H90+Tableau3[[#This Row],[Mars]]</f>
        <v>17863</v>
      </c>
      <c r="I95" s="563">
        <f>I90+Tableau3[[#This Row],[Avril]]</f>
        <v>17863</v>
      </c>
      <c r="J95" s="563">
        <f>J90+Tableau3[[#This Row],[Mai]]</f>
        <v>17863</v>
      </c>
      <c r="K95" s="563">
        <f>K90+Tableau3[[#This Row],[Juin]]</f>
        <v>17863</v>
      </c>
      <c r="L95" s="563">
        <f>L90+Tableau3[[#This Row],[Juillet]]</f>
        <v>17863</v>
      </c>
      <c r="M95" s="563">
        <f>M90+Tableau3[[#This Row],[Août]]</f>
        <v>17863</v>
      </c>
      <c r="N95" s="563">
        <f>N90+Tableau3[[#This Row],[Septembre]]</f>
        <v>17863</v>
      </c>
      <c r="O95" s="563">
        <f>O90+Tableau3[[#This Row],[Octobre]]</f>
        <v>17863</v>
      </c>
      <c r="P95" s="563">
        <f>P90+Tableau3[[#This Row],[Novembre]]</f>
        <v>17863</v>
      </c>
      <c r="Q95" s="715"/>
    </row>
    <row r="96" spans="1:17">
      <c r="A96" s="536" t="s">
        <v>43</v>
      </c>
      <c r="B96" s="50" t="s">
        <v>2015</v>
      </c>
      <c r="C96" s="48"/>
      <c r="D96" s="497" t="s">
        <v>2017</v>
      </c>
      <c r="E96" s="498">
        <f>E91</f>
        <v>0</v>
      </c>
      <c r="F96" s="498">
        <f>F91+Tableau3[[#This Row],[Janvier]]</f>
        <v>0</v>
      </c>
      <c r="G96" s="498">
        <f>G91+Tableau3[[#This Row],[Février]]</f>
        <v>0</v>
      </c>
      <c r="H96" s="498">
        <f>H91+Tableau3[[#This Row],[Mars]]</f>
        <v>0</v>
      </c>
      <c r="I96" s="498">
        <f>I91+Tableau3[[#This Row],[Avril]]</f>
        <v>0</v>
      </c>
      <c r="J96" s="498">
        <f>J91+Tableau3[[#This Row],[Mai]]</f>
        <v>0</v>
      </c>
      <c r="K96" s="498">
        <f>K91+Tableau3[[#This Row],[Juin]]</f>
        <v>0</v>
      </c>
      <c r="L96" s="498">
        <f>L91+Tableau3[[#This Row],[Juillet]]</f>
        <v>0</v>
      </c>
      <c r="M96" s="498">
        <f>M91+Tableau3[[#This Row],[Août]]</f>
        <v>0</v>
      </c>
      <c r="N96" s="498">
        <f>N91+Tableau3[[#This Row],[Septembre]]</f>
        <v>0</v>
      </c>
      <c r="O96" s="498">
        <f>O91+Tableau3[[#This Row],[Octobre]]</f>
        <v>0</v>
      </c>
      <c r="P96" s="498">
        <f>P91+Tableau3[[#This Row],[Novembre]]</f>
        <v>0</v>
      </c>
      <c r="Q96" s="716"/>
    </row>
    <row r="97" spans="1:17">
      <c r="A97" s="536" t="s">
        <v>43</v>
      </c>
      <c r="B97" s="50" t="s">
        <v>2015</v>
      </c>
      <c r="C97" s="503" t="s">
        <v>2047</v>
      </c>
      <c r="D97" s="501" t="s">
        <v>95</v>
      </c>
      <c r="E97" s="500">
        <f>E90+E91</f>
        <v>10742</v>
      </c>
      <c r="F97" s="500">
        <f>F92+Tableau3[[#This Row],[Janvier]]</f>
        <v>14770</v>
      </c>
      <c r="G97" s="500">
        <f>G92+Tableau3[[#This Row],[Février]]</f>
        <v>17863</v>
      </c>
      <c r="H97" s="500">
        <f>H92+Tableau3[[#This Row],[Mars]]</f>
        <v>17863</v>
      </c>
      <c r="I97" s="500">
        <f>I92+Tableau3[[#This Row],[Avril]]</f>
        <v>17863</v>
      </c>
      <c r="J97" s="500">
        <f>J92+Tableau3[[#This Row],[Mai]]</f>
        <v>17863</v>
      </c>
      <c r="K97" s="500">
        <f>K92+Tableau3[[#This Row],[Juin]]</f>
        <v>17863</v>
      </c>
      <c r="L97" s="500">
        <f>L92+Tableau3[[#This Row],[Juillet]]</f>
        <v>17863</v>
      </c>
      <c r="M97" s="500">
        <f>M92+Tableau3[[#This Row],[Août]]</f>
        <v>17863</v>
      </c>
      <c r="N97" s="500">
        <f>N92+Tableau3[[#This Row],[Septembre]]</f>
        <v>17863</v>
      </c>
      <c r="O97" s="500">
        <f>O92+Tableau3[[#This Row],[Octobre]]</f>
        <v>17863</v>
      </c>
      <c r="P97" s="500">
        <f>P92+Tableau3[[#This Row],[Novembre]]</f>
        <v>17863</v>
      </c>
      <c r="Q97" s="717"/>
    </row>
    <row r="98" spans="1:17">
      <c r="A98" s="536" t="s">
        <v>43</v>
      </c>
      <c r="B98" s="50" t="s">
        <v>2015</v>
      </c>
      <c r="C98" s="48"/>
      <c r="D98" s="515" t="s">
        <v>2026</v>
      </c>
      <c r="E98" s="523">
        <f>E93</f>
        <v>15600</v>
      </c>
      <c r="F98" s="523">
        <f>F93+Tableau3[[#This Row],[Janvier]]</f>
        <v>23500</v>
      </c>
      <c r="G98" s="523">
        <f>G93+Tableau3[[#This Row],[Février]]</f>
        <v>27600</v>
      </c>
      <c r="H98" s="523">
        <f>H93+Tableau3[[#This Row],[Mars]]</f>
        <v>35500</v>
      </c>
      <c r="I98" s="523">
        <f>I93+Tableau3[[#This Row],[Avril]]</f>
        <v>54800</v>
      </c>
      <c r="J98" s="523">
        <f>J93+Tableau3[[#This Row],[Mai]]</f>
        <v>71000</v>
      </c>
      <c r="K98" s="523">
        <f>K93+Tableau3[[#This Row],[Juin]]</f>
        <v>85144</v>
      </c>
      <c r="L98" s="523">
        <f>L93+Tableau3[[#This Row],[Juillet]]</f>
        <v>94344</v>
      </c>
      <c r="M98" s="523">
        <f>M93+Tableau3[[#This Row],[Août]]</f>
        <v>103644</v>
      </c>
      <c r="N98" s="523">
        <f>N93+Tableau3[[#This Row],[Septembre]]</f>
        <v>115844</v>
      </c>
      <c r="O98" s="523">
        <f>O93+Tableau3[[#This Row],[Octobre]]</f>
        <v>131844</v>
      </c>
      <c r="P98" s="523">
        <f>P93+Tableau3[[#This Row],[Novembre]]</f>
        <v>139844</v>
      </c>
      <c r="Q98" s="718"/>
    </row>
    <row r="99" spans="1:17">
      <c r="A99" s="536" t="s">
        <v>43</v>
      </c>
      <c r="B99" s="50" t="s">
        <v>2015</v>
      </c>
      <c r="C99" s="49"/>
      <c r="D99" s="504" t="s">
        <v>2030</v>
      </c>
      <c r="E99" s="505">
        <f>E94</f>
        <v>15600</v>
      </c>
      <c r="F99" s="505">
        <f>F94+Tableau3[[#This Row],[Janvier]]</f>
        <v>24700</v>
      </c>
      <c r="G99" s="505">
        <f>G94+Tableau3[[#This Row],[Février]]</f>
        <v>31200</v>
      </c>
      <c r="H99" s="505">
        <f>H94+Tableau3[[#This Row],[Mars]]</f>
        <v>58300</v>
      </c>
      <c r="I99" s="505">
        <f>I94+Tableau3[[#This Row],[Avril]]</f>
        <v>76800</v>
      </c>
      <c r="J99" s="505">
        <f>J94+Tableau3[[#This Row],[Mai]]</f>
        <v>97000</v>
      </c>
      <c r="K99" s="505">
        <f>K94+Tableau3[[#This Row],[Juin]]</f>
        <v>123644</v>
      </c>
      <c r="L99" s="505">
        <f>L94+Tableau3[[#This Row],[Juillet]]</f>
        <v>138044</v>
      </c>
      <c r="M99" s="505">
        <f>M94+Tableau3[[#This Row],[Août]]</f>
        <v>139644</v>
      </c>
      <c r="N99" s="505">
        <f>N94+Tableau3[[#This Row],[Septembre]]</f>
        <v>140344</v>
      </c>
      <c r="O99" s="505">
        <f>O94+Tableau3[[#This Row],[Octobre]]</f>
        <v>156344</v>
      </c>
      <c r="P99" s="505">
        <f>P94+Tableau3[[#This Row],[Novembre]]</f>
        <v>164344</v>
      </c>
      <c r="Q99" s="719"/>
    </row>
    <row r="100" spans="1:17" ht="15.75" thickBot="1">
      <c r="A100" s="547" t="s">
        <v>43</v>
      </c>
      <c r="B100" s="518" t="s">
        <v>2015</v>
      </c>
      <c r="C100" s="554"/>
      <c r="D100" s="520" t="s">
        <v>78</v>
      </c>
      <c r="E100" s="521"/>
      <c r="F100" s="521"/>
      <c r="G100" s="521"/>
      <c r="H100" s="521"/>
      <c r="I100" s="521"/>
      <c r="J100" s="521"/>
      <c r="K100" s="521"/>
      <c r="L100" s="521"/>
      <c r="M100" s="521"/>
      <c r="N100" s="521"/>
      <c r="O100" s="521"/>
      <c r="P100" s="521"/>
      <c r="Q100" s="548"/>
    </row>
    <row r="101" spans="1:17" s="513" customFormat="1">
      <c r="A101" s="556" t="s">
        <v>2029</v>
      </c>
      <c r="B101" s="517" t="s">
        <v>73</v>
      </c>
      <c r="C101" s="510"/>
      <c r="D101" s="512"/>
      <c r="E101" s="507" t="s">
        <v>29</v>
      </c>
      <c r="F101" s="507" t="s">
        <v>30</v>
      </c>
      <c r="G101" s="507" t="s">
        <v>31</v>
      </c>
      <c r="H101" s="507" t="s">
        <v>32</v>
      </c>
      <c r="I101" s="507" t="s">
        <v>33</v>
      </c>
      <c r="J101" s="507" t="s">
        <v>34</v>
      </c>
      <c r="K101" s="507" t="s">
        <v>35</v>
      </c>
      <c r="L101" s="507" t="s">
        <v>65</v>
      </c>
      <c r="M101" s="507" t="s">
        <v>37</v>
      </c>
      <c r="N101" s="507" t="s">
        <v>38</v>
      </c>
      <c r="O101" s="507" t="s">
        <v>39</v>
      </c>
      <c r="P101" s="508" t="s">
        <v>40</v>
      </c>
      <c r="Q101" s="509" t="s">
        <v>4</v>
      </c>
    </row>
    <row r="102" spans="1:17">
      <c r="A102" s="89" t="s">
        <v>2029</v>
      </c>
      <c r="B102" s="50" t="s">
        <v>73</v>
      </c>
      <c r="C102" s="502"/>
      <c r="D102" s="41" t="s">
        <v>66</v>
      </c>
      <c r="E102" s="55">
        <v>0</v>
      </c>
      <c r="F102" s="55">
        <v>0</v>
      </c>
      <c r="G102" s="55">
        <v>0</v>
      </c>
      <c r="H102" s="55"/>
      <c r="I102" s="55"/>
      <c r="J102" s="55"/>
      <c r="K102" s="55"/>
      <c r="L102" s="55"/>
      <c r="M102" s="55"/>
      <c r="N102" s="55"/>
      <c r="O102" s="55"/>
      <c r="P102" s="56"/>
      <c r="Q102" s="56">
        <f>SUM(Tableau3[[#This Row],[Janvier]:[Décembre]])</f>
        <v>0</v>
      </c>
    </row>
    <row r="103" spans="1:17">
      <c r="A103" s="89" t="s">
        <v>2029</v>
      </c>
      <c r="B103" s="50" t="s">
        <v>73</v>
      </c>
      <c r="C103" s="48"/>
      <c r="D103" s="37" t="s">
        <v>67</v>
      </c>
      <c r="E103" s="99">
        <v>0</v>
      </c>
      <c r="F103" s="99">
        <v>12004</v>
      </c>
      <c r="G103" s="99">
        <v>3091</v>
      </c>
      <c r="H103" s="99"/>
      <c r="I103" s="99"/>
      <c r="J103" s="99"/>
      <c r="K103" s="99"/>
      <c r="L103" s="99"/>
      <c r="M103" s="99"/>
      <c r="N103" s="99"/>
      <c r="O103" s="99"/>
      <c r="P103" s="99"/>
      <c r="Q103" s="100">
        <f>SUM(Tableau3[[#This Row],[Janvier]:[Décembre]])</f>
        <v>15095</v>
      </c>
    </row>
    <row r="104" spans="1:17">
      <c r="A104" s="89" t="s">
        <v>2029</v>
      </c>
      <c r="B104" s="50" t="s">
        <v>73</v>
      </c>
      <c r="C104" s="503" t="s">
        <v>2024</v>
      </c>
      <c r="D104" s="506" t="s">
        <v>2018</v>
      </c>
      <c r="E104" s="499">
        <f>E102+E103</f>
        <v>0</v>
      </c>
      <c r="F104" s="499">
        <f>F102+F103</f>
        <v>12004</v>
      </c>
      <c r="G104" s="499">
        <f t="shared" ref="G104:P104" si="8">G102+G103</f>
        <v>3091</v>
      </c>
      <c r="H104" s="499">
        <f t="shared" si="8"/>
        <v>0</v>
      </c>
      <c r="I104" s="499">
        <f t="shared" si="8"/>
        <v>0</v>
      </c>
      <c r="J104" s="499">
        <f t="shared" si="8"/>
        <v>0</v>
      </c>
      <c r="K104" s="499">
        <f t="shared" si="8"/>
        <v>0</v>
      </c>
      <c r="L104" s="499">
        <f t="shared" si="8"/>
        <v>0</v>
      </c>
      <c r="M104" s="499">
        <f t="shared" si="8"/>
        <v>0</v>
      </c>
      <c r="N104" s="499">
        <f t="shared" si="8"/>
        <v>0</v>
      </c>
      <c r="O104" s="499">
        <f t="shared" si="8"/>
        <v>0</v>
      </c>
      <c r="P104" s="499">
        <f t="shared" si="8"/>
        <v>0</v>
      </c>
      <c r="Q104" s="566">
        <f>Q102+Q103</f>
        <v>15095</v>
      </c>
    </row>
    <row r="105" spans="1:17">
      <c r="A105" s="89" t="s">
        <v>2029</v>
      </c>
      <c r="B105" s="50" t="s">
        <v>73</v>
      </c>
      <c r="C105" s="48"/>
      <c r="D105" s="90" t="s">
        <v>86</v>
      </c>
      <c r="E105" s="91">
        <v>0</v>
      </c>
      <c r="F105" s="91">
        <v>2400</v>
      </c>
      <c r="G105" s="91">
        <v>8200</v>
      </c>
      <c r="H105" s="91">
        <v>6200</v>
      </c>
      <c r="I105" s="91">
        <v>5400</v>
      </c>
      <c r="J105" s="91">
        <v>3000</v>
      </c>
      <c r="K105" s="91">
        <v>10000</v>
      </c>
      <c r="L105" s="91">
        <v>7200</v>
      </c>
      <c r="M105" s="91">
        <v>4800</v>
      </c>
      <c r="N105" s="91">
        <v>2400</v>
      </c>
      <c r="O105" s="91">
        <v>1200</v>
      </c>
      <c r="P105" s="91">
        <v>0</v>
      </c>
      <c r="Q105" s="91">
        <f>SUM(Tableau3[[#This Row],[Janvier]:[Décembre]])</f>
        <v>50800</v>
      </c>
    </row>
    <row r="106" spans="1:17">
      <c r="A106" s="89" t="s">
        <v>2029</v>
      </c>
      <c r="B106" s="50" t="s">
        <v>73</v>
      </c>
      <c r="C106" s="49"/>
      <c r="D106" s="24" t="s">
        <v>1912</v>
      </c>
      <c r="E106" s="495">
        <v>0</v>
      </c>
      <c r="F106" s="495">
        <v>6300</v>
      </c>
      <c r="G106" s="495">
        <v>8600</v>
      </c>
      <c r="H106" s="495">
        <v>10700</v>
      </c>
      <c r="I106" s="495">
        <v>0</v>
      </c>
      <c r="J106" s="495">
        <v>5000</v>
      </c>
      <c r="K106" s="495">
        <v>10000</v>
      </c>
      <c r="L106" s="495">
        <v>10200</v>
      </c>
      <c r="M106" s="495">
        <v>9000</v>
      </c>
      <c r="N106" s="495">
        <v>8800</v>
      </c>
      <c r="O106" s="495">
        <v>4200</v>
      </c>
      <c r="P106" s="495">
        <v>0</v>
      </c>
      <c r="Q106" s="495">
        <f>SUM(Tableau3[[#This Row],[Janvier]:[Décembre]])</f>
        <v>72800</v>
      </c>
    </row>
    <row r="107" spans="1:17">
      <c r="A107" s="89" t="s">
        <v>2029</v>
      </c>
      <c r="B107" s="50" t="s">
        <v>73</v>
      </c>
      <c r="C107" s="502"/>
      <c r="D107" s="516" t="s">
        <v>2019</v>
      </c>
      <c r="E107" s="563">
        <f>E102</f>
        <v>0</v>
      </c>
      <c r="F107" s="563">
        <f>F102+Tableau3[[#This Row],[Janvier]]</f>
        <v>0</v>
      </c>
      <c r="G107" s="563">
        <f>G102+Tableau3[[#This Row],[Février]]</f>
        <v>0</v>
      </c>
      <c r="H107" s="563">
        <f>H102+Tableau3[[#This Row],[Mars]]</f>
        <v>0</v>
      </c>
      <c r="I107" s="563">
        <f>I102+Tableau3[[#This Row],[Avril]]</f>
        <v>0</v>
      </c>
      <c r="J107" s="563">
        <f>J102+Tableau3[[#This Row],[Mai]]</f>
        <v>0</v>
      </c>
      <c r="K107" s="563">
        <f>K102+Tableau3[[#This Row],[Juin]]</f>
        <v>0</v>
      </c>
      <c r="L107" s="563">
        <f>L102+Tableau3[[#This Row],[Juillet]]</f>
        <v>0</v>
      </c>
      <c r="M107" s="563">
        <f>M102+Tableau3[[#This Row],[Août]]</f>
        <v>0</v>
      </c>
      <c r="N107" s="563">
        <f>N102+Tableau3[[#This Row],[Septembre]]</f>
        <v>0</v>
      </c>
      <c r="O107" s="563">
        <f>O102+Tableau3[[#This Row],[Octobre]]</f>
        <v>0</v>
      </c>
      <c r="P107" s="563">
        <f>P102+Tableau3[[#This Row],[Novembre]]</f>
        <v>0</v>
      </c>
      <c r="Q107" s="642"/>
    </row>
    <row r="108" spans="1:17">
      <c r="A108" s="89" t="s">
        <v>2029</v>
      </c>
      <c r="B108" s="50" t="s">
        <v>73</v>
      </c>
      <c r="C108" s="48"/>
      <c r="D108" s="497" t="s">
        <v>2017</v>
      </c>
      <c r="E108" s="498">
        <f>E103</f>
        <v>0</v>
      </c>
      <c r="F108" s="498">
        <f>F103+Tableau3[[#This Row],[Janvier]]</f>
        <v>12004</v>
      </c>
      <c r="G108" s="498">
        <f>G103+Tableau3[[#This Row],[Février]]</f>
        <v>15095</v>
      </c>
      <c r="H108" s="498">
        <f>H103+Tableau3[[#This Row],[Mars]]</f>
        <v>15095</v>
      </c>
      <c r="I108" s="498">
        <f>I103+Tableau3[[#This Row],[Avril]]</f>
        <v>15095</v>
      </c>
      <c r="J108" s="498">
        <f>J103+Tableau3[[#This Row],[Mai]]</f>
        <v>15095</v>
      </c>
      <c r="K108" s="498">
        <f>K103+Tableau3[[#This Row],[Juin]]</f>
        <v>15095</v>
      </c>
      <c r="L108" s="498">
        <f>L103+Tableau3[[#This Row],[Juillet]]</f>
        <v>15095</v>
      </c>
      <c r="M108" s="498">
        <f>M103+Tableau3[[#This Row],[Août]]</f>
        <v>15095</v>
      </c>
      <c r="N108" s="498">
        <f>N103+Tableau3[[#This Row],[Septembre]]</f>
        <v>15095</v>
      </c>
      <c r="O108" s="498">
        <f>O103+Tableau3[[#This Row],[Octobre]]</f>
        <v>15095</v>
      </c>
      <c r="P108" s="498">
        <f>P103+Tableau3[[#This Row],[Novembre]]</f>
        <v>15095</v>
      </c>
      <c r="Q108" s="643"/>
    </row>
    <row r="109" spans="1:17">
      <c r="A109" s="89" t="s">
        <v>2029</v>
      </c>
      <c r="B109" s="50" t="s">
        <v>73</v>
      </c>
      <c r="C109" s="503" t="s">
        <v>2047</v>
      </c>
      <c r="D109" s="501" t="s">
        <v>95</v>
      </c>
      <c r="E109" s="500">
        <f>E104</f>
        <v>0</v>
      </c>
      <c r="F109" s="500">
        <f>F104+Tableau3[[#This Row],[Janvier]]</f>
        <v>12004</v>
      </c>
      <c r="G109" s="500">
        <f>G104+Tableau3[[#This Row],[Février]]</f>
        <v>15095</v>
      </c>
      <c r="H109" s="500">
        <f>H104+Tableau3[[#This Row],[Mars]]</f>
        <v>15095</v>
      </c>
      <c r="I109" s="500">
        <f>I104+Tableau3[[#This Row],[Avril]]</f>
        <v>15095</v>
      </c>
      <c r="J109" s="500">
        <f>J104+Tableau3[[#This Row],[Mai]]</f>
        <v>15095</v>
      </c>
      <c r="K109" s="500">
        <f>K104+Tableau3[[#This Row],[Juin]]</f>
        <v>15095</v>
      </c>
      <c r="L109" s="500">
        <f>L104+Tableau3[[#This Row],[Juillet]]</f>
        <v>15095</v>
      </c>
      <c r="M109" s="500">
        <f>M104+Tableau3[[#This Row],[Août]]</f>
        <v>15095</v>
      </c>
      <c r="N109" s="500">
        <f>N104+Tableau3[[#This Row],[Septembre]]</f>
        <v>15095</v>
      </c>
      <c r="O109" s="500">
        <f>O104+Tableau3[[#This Row],[Octobre]]</f>
        <v>15095</v>
      </c>
      <c r="P109" s="500">
        <f>P104+Tableau3[[#This Row],[Novembre]]</f>
        <v>15095</v>
      </c>
      <c r="Q109" s="644"/>
    </row>
    <row r="110" spans="1:17">
      <c r="A110" s="89" t="s">
        <v>2029</v>
      </c>
      <c r="B110" s="50" t="s">
        <v>73</v>
      </c>
      <c r="C110" s="48"/>
      <c r="D110" s="515" t="s">
        <v>2026</v>
      </c>
      <c r="E110" s="523">
        <f>E105</f>
        <v>0</v>
      </c>
      <c r="F110" s="523">
        <f>F105+Tableau3[[#This Row],[Janvier]]</f>
        <v>2400</v>
      </c>
      <c r="G110" s="523">
        <f>G105+Tableau3[[#This Row],[Février]]</f>
        <v>10600</v>
      </c>
      <c r="H110" s="523">
        <f>H105+Tableau3[[#This Row],[Mars]]</f>
        <v>16800</v>
      </c>
      <c r="I110" s="523">
        <f>I105+Tableau3[[#This Row],[Avril]]</f>
        <v>22200</v>
      </c>
      <c r="J110" s="523">
        <f>J105+Tableau3[[#This Row],[Mai]]</f>
        <v>25200</v>
      </c>
      <c r="K110" s="523">
        <f>K105+Tableau3[[#This Row],[Juin]]</f>
        <v>35200</v>
      </c>
      <c r="L110" s="523">
        <f>L105+Tableau3[[#This Row],[Juillet]]</f>
        <v>42400</v>
      </c>
      <c r="M110" s="523">
        <f>M105+Tableau3[[#This Row],[Août]]</f>
        <v>47200</v>
      </c>
      <c r="N110" s="523">
        <f>N105+Tableau3[[#This Row],[Septembre]]</f>
        <v>49600</v>
      </c>
      <c r="O110" s="523">
        <f>O105+Tableau3[[#This Row],[Octobre]]</f>
        <v>50800</v>
      </c>
      <c r="P110" s="523">
        <f>P105+Tableau3[[#This Row],[Novembre]]</f>
        <v>50800</v>
      </c>
      <c r="Q110" s="645"/>
    </row>
    <row r="111" spans="1:17">
      <c r="A111" s="89" t="s">
        <v>2029</v>
      </c>
      <c r="B111" s="50" t="s">
        <v>73</v>
      </c>
      <c r="C111" s="49"/>
      <c r="D111" s="504" t="s">
        <v>2030</v>
      </c>
      <c r="E111" s="505">
        <f>E106</f>
        <v>0</v>
      </c>
      <c r="F111" s="505">
        <f>F106+Tableau3[[#This Row],[Janvier]]</f>
        <v>6300</v>
      </c>
      <c r="G111" s="505">
        <f>G106+Tableau3[[#This Row],[Février]]</f>
        <v>14900</v>
      </c>
      <c r="H111" s="505">
        <f>H106+Tableau3[[#This Row],[Mars]]</f>
        <v>25600</v>
      </c>
      <c r="I111" s="505">
        <f>I106+Tableau3[[#This Row],[Avril]]</f>
        <v>25600</v>
      </c>
      <c r="J111" s="505">
        <f>J106+Tableau3[[#This Row],[Mai]]</f>
        <v>30600</v>
      </c>
      <c r="K111" s="505">
        <f>K106+Tableau3[[#This Row],[Juin]]</f>
        <v>40600</v>
      </c>
      <c r="L111" s="505">
        <f>L106+Tableau3[[#This Row],[Juillet]]</f>
        <v>50800</v>
      </c>
      <c r="M111" s="505">
        <f>M106+Tableau3[[#This Row],[Août]]</f>
        <v>59800</v>
      </c>
      <c r="N111" s="505">
        <f>N106+Tableau3[[#This Row],[Septembre]]</f>
        <v>68600</v>
      </c>
      <c r="O111" s="505">
        <f>O106+Tableau3[[#This Row],[Octobre]]</f>
        <v>72800</v>
      </c>
      <c r="P111" s="505">
        <f>P106+Tableau3[[#This Row],[Novembre]]</f>
        <v>72800</v>
      </c>
      <c r="Q111" s="646"/>
    </row>
    <row r="112" spans="1:17" ht="15.75" thickBot="1">
      <c r="A112" s="89" t="s">
        <v>2029</v>
      </c>
      <c r="B112" s="47" t="s">
        <v>73</v>
      </c>
      <c r="C112" s="549"/>
      <c r="D112" s="555" t="s">
        <v>78</v>
      </c>
      <c r="E112" s="551"/>
      <c r="F112" s="551"/>
      <c r="G112" s="551"/>
      <c r="H112" s="551"/>
      <c r="I112" s="551"/>
      <c r="J112" s="551"/>
      <c r="K112" s="551"/>
      <c r="L112" s="551"/>
      <c r="M112" s="551"/>
      <c r="N112" s="551"/>
      <c r="O112" s="551"/>
      <c r="P112" s="551"/>
      <c r="Q112" s="553"/>
    </row>
    <row r="113" spans="1:17" s="513" customFormat="1">
      <c r="A113" s="557" t="s">
        <v>2029</v>
      </c>
      <c r="B113" s="530" t="s">
        <v>69</v>
      </c>
      <c r="C113" s="531"/>
      <c r="D113" s="532"/>
      <c r="E113" s="533" t="s">
        <v>29</v>
      </c>
      <c r="F113" s="533" t="s">
        <v>30</v>
      </c>
      <c r="G113" s="533" t="s">
        <v>31</v>
      </c>
      <c r="H113" s="533" t="s">
        <v>32</v>
      </c>
      <c r="I113" s="533" t="s">
        <v>33</v>
      </c>
      <c r="J113" s="533" t="s">
        <v>34</v>
      </c>
      <c r="K113" s="533" t="s">
        <v>35</v>
      </c>
      <c r="L113" s="533" t="s">
        <v>65</v>
      </c>
      <c r="M113" s="533" t="s">
        <v>37</v>
      </c>
      <c r="N113" s="533" t="s">
        <v>38</v>
      </c>
      <c r="O113" s="533" t="s">
        <v>39</v>
      </c>
      <c r="P113" s="534" t="s">
        <v>40</v>
      </c>
      <c r="Q113" s="535" t="s">
        <v>4</v>
      </c>
    </row>
    <row r="114" spans="1:17">
      <c r="A114" s="558" t="s">
        <v>2029</v>
      </c>
      <c r="B114" s="50" t="s">
        <v>69</v>
      </c>
      <c r="C114" s="502"/>
      <c r="D114" s="41" t="s">
        <v>66</v>
      </c>
      <c r="E114" s="55">
        <v>0</v>
      </c>
      <c r="F114" s="55">
        <v>566</v>
      </c>
      <c r="G114" s="55">
        <v>545</v>
      </c>
      <c r="H114" s="55"/>
      <c r="I114" s="55"/>
      <c r="J114" s="55"/>
      <c r="K114" s="55"/>
      <c r="L114" s="55"/>
      <c r="M114" s="55"/>
      <c r="N114" s="55"/>
      <c r="O114" s="55"/>
      <c r="P114" s="56"/>
      <c r="Q114" s="537">
        <f>SUM(Tableau3[[#This Row],[Janvier]:[Décembre]])</f>
        <v>1111</v>
      </c>
    </row>
    <row r="115" spans="1:17">
      <c r="A115" s="558" t="s">
        <v>2029</v>
      </c>
      <c r="B115" s="50" t="s">
        <v>69</v>
      </c>
      <c r="C115" s="48"/>
      <c r="D115" s="37" t="s">
        <v>67</v>
      </c>
      <c r="E115" s="99">
        <v>0</v>
      </c>
      <c r="F115" s="99">
        <v>0</v>
      </c>
      <c r="G115" s="99">
        <v>0</v>
      </c>
      <c r="H115" s="99"/>
      <c r="I115" s="99"/>
      <c r="J115" s="99"/>
      <c r="K115" s="99"/>
      <c r="L115" s="99"/>
      <c r="M115" s="99"/>
      <c r="N115" s="99"/>
      <c r="O115" s="99"/>
      <c r="P115" s="99"/>
      <c r="Q115" s="538">
        <f>SUM(Tableau3[[#This Row],[Janvier]:[Décembre]])</f>
        <v>0</v>
      </c>
    </row>
    <row r="116" spans="1:17">
      <c r="A116" s="558" t="s">
        <v>2029</v>
      </c>
      <c r="B116" s="50" t="s">
        <v>69</v>
      </c>
      <c r="C116" s="503" t="s">
        <v>2024</v>
      </c>
      <c r="D116" s="506" t="s">
        <v>2018</v>
      </c>
      <c r="E116" s="499">
        <f>E114+E115</f>
        <v>0</v>
      </c>
      <c r="F116" s="499">
        <f>F114+F115</f>
        <v>566</v>
      </c>
      <c r="G116" s="499">
        <f t="shared" ref="G116:P116" si="9">G114+G115</f>
        <v>545</v>
      </c>
      <c r="H116" s="499">
        <f t="shared" si="9"/>
        <v>0</v>
      </c>
      <c r="I116" s="499">
        <f t="shared" si="9"/>
        <v>0</v>
      </c>
      <c r="J116" s="499">
        <f t="shared" si="9"/>
        <v>0</v>
      </c>
      <c r="K116" s="499">
        <f t="shared" si="9"/>
        <v>0</v>
      </c>
      <c r="L116" s="499">
        <f t="shared" si="9"/>
        <v>0</v>
      </c>
      <c r="M116" s="499">
        <f t="shared" si="9"/>
        <v>0</v>
      </c>
      <c r="N116" s="499">
        <f t="shared" si="9"/>
        <v>0</v>
      </c>
      <c r="O116" s="499">
        <f t="shared" si="9"/>
        <v>0</v>
      </c>
      <c r="P116" s="499">
        <f t="shared" si="9"/>
        <v>0</v>
      </c>
      <c r="Q116" s="539">
        <f>Q114+Q115</f>
        <v>1111</v>
      </c>
    </row>
    <row r="117" spans="1:17">
      <c r="A117" s="558" t="s">
        <v>2029</v>
      </c>
      <c r="B117" s="50" t="s">
        <v>69</v>
      </c>
      <c r="C117" s="48"/>
      <c r="D117" s="90" t="s">
        <v>86</v>
      </c>
      <c r="E117" s="91">
        <v>0</v>
      </c>
      <c r="F117" s="91">
        <v>3400</v>
      </c>
      <c r="G117" s="91">
        <v>0</v>
      </c>
      <c r="H117" s="91">
        <v>2800</v>
      </c>
      <c r="I117" s="91">
        <v>4000</v>
      </c>
      <c r="J117" s="91">
        <v>0</v>
      </c>
      <c r="K117" s="91">
        <v>0</v>
      </c>
      <c r="L117" s="91">
        <v>5200</v>
      </c>
      <c r="M117" s="91">
        <v>6000</v>
      </c>
      <c r="N117" s="91">
        <v>13000</v>
      </c>
      <c r="O117" s="91">
        <v>12000</v>
      </c>
      <c r="P117" s="91">
        <v>0</v>
      </c>
      <c r="Q117" s="540">
        <f>SUM(Tableau3[[#This Row],[Janvier]:[Décembre]])</f>
        <v>46400</v>
      </c>
    </row>
    <row r="118" spans="1:17">
      <c r="A118" s="558" t="s">
        <v>2029</v>
      </c>
      <c r="B118" s="50" t="s">
        <v>69</v>
      </c>
      <c r="C118" s="49"/>
      <c r="D118" s="24" t="s">
        <v>1912</v>
      </c>
      <c r="E118" s="495">
        <v>0</v>
      </c>
      <c r="F118" s="495">
        <v>3400</v>
      </c>
      <c r="G118" s="495">
        <v>0</v>
      </c>
      <c r="H118" s="495">
        <v>2800</v>
      </c>
      <c r="I118" s="495">
        <v>4000</v>
      </c>
      <c r="J118" s="495">
        <v>0</v>
      </c>
      <c r="K118" s="495">
        <v>10250</v>
      </c>
      <c r="L118" s="495">
        <v>7200</v>
      </c>
      <c r="M118" s="495">
        <v>6000</v>
      </c>
      <c r="N118" s="495">
        <v>13000</v>
      </c>
      <c r="O118" s="495">
        <v>12000</v>
      </c>
      <c r="P118" s="495">
        <v>0</v>
      </c>
      <c r="Q118" s="541">
        <f>SUM(Tableau3[[#This Row],[Janvier]:[Décembre]])</f>
        <v>58650</v>
      </c>
    </row>
    <row r="119" spans="1:17">
      <c r="A119" s="558" t="s">
        <v>2029</v>
      </c>
      <c r="B119" s="50" t="s">
        <v>69</v>
      </c>
      <c r="C119" s="502"/>
      <c r="D119" s="516" t="s">
        <v>2019</v>
      </c>
      <c r="E119" s="563">
        <f>E114</f>
        <v>0</v>
      </c>
      <c r="F119" s="563">
        <f>F114+Tableau3[[#This Row],[Janvier]]</f>
        <v>566</v>
      </c>
      <c r="G119" s="563">
        <f>G114+Tableau3[[#This Row],[Février]]</f>
        <v>1111</v>
      </c>
      <c r="H119" s="563">
        <f>H114+Tableau3[[#This Row],[Mars]]</f>
        <v>1111</v>
      </c>
      <c r="I119" s="563">
        <f>I114+Tableau3[[#This Row],[Avril]]</f>
        <v>1111</v>
      </c>
      <c r="J119" s="563">
        <f>J114+Tableau3[[#This Row],[Mai]]</f>
        <v>1111</v>
      </c>
      <c r="K119" s="563">
        <f>K114+Tableau3[[#This Row],[Juin]]</f>
        <v>1111</v>
      </c>
      <c r="L119" s="563">
        <f>L114+Tableau3[[#This Row],[Juillet]]</f>
        <v>1111</v>
      </c>
      <c r="M119" s="563">
        <f>M114+Tableau3[[#This Row],[Août]]</f>
        <v>1111</v>
      </c>
      <c r="N119" s="563">
        <f>N114+Tableau3[[#This Row],[Septembre]]</f>
        <v>1111</v>
      </c>
      <c r="O119" s="563">
        <f>O114+Tableau3[[#This Row],[Octobre]]</f>
        <v>1111</v>
      </c>
      <c r="P119" s="563">
        <f>P114+Tableau3[[#This Row],[Novembre]]</f>
        <v>1111</v>
      </c>
      <c r="Q119" s="642"/>
    </row>
    <row r="120" spans="1:17">
      <c r="A120" s="558" t="s">
        <v>2029</v>
      </c>
      <c r="B120" s="50" t="s">
        <v>69</v>
      </c>
      <c r="C120" s="48"/>
      <c r="D120" s="497" t="s">
        <v>2017</v>
      </c>
      <c r="E120" s="498">
        <f>E115</f>
        <v>0</v>
      </c>
      <c r="F120" s="498">
        <f>F115+Tableau3[[#This Row],[Janvier]]</f>
        <v>0</v>
      </c>
      <c r="G120" s="498">
        <f>G115+Tableau3[[#This Row],[Février]]</f>
        <v>0</v>
      </c>
      <c r="H120" s="498">
        <f>H115+Tableau3[[#This Row],[Mars]]</f>
        <v>0</v>
      </c>
      <c r="I120" s="498">
        <f>I115+Tableau3[[#This Row],[Avril]]</f>
        <v>0</v>
      </c>
      <c r="J120" s="498">
        <f>J115+Tableau3[[#This Row],[Mai]]</f>
        <v>0</v>
      </c>
      <c r="K120" s="498">
        <f>K115+Tableau3[[#This Row],[Juin]]</f>
        <v>0</v>
      </c>
      <c r="L120" s="498">
        <f>L115+Tableau3[[#This Row],[Juillet]]</f>
        <v>0</v>
      </c>
      <c r="M120" s="498">
        <f>M115+Tableau3[[#This Row],[Août]]</f>
        <v>0</v>
      </c>
      <c r="N120" s="498">
        <f>N115+Tableau3[[#This Row],[Septembre]]</f>
        <v>0</v>
      </c>
      <c r="O120" s="498">
        <f>O115+Tableau3[[#This Row],[Octobre]]</f>
        <v>0</v>
      </c>
      <c r="P120" s="498">
        <f>P115+Tableau3[[#This Row],[Novembre]]</f>
        <v>0</v>
      </c>
      <c r="Q120" s="643"/>
    </row>
    <row r="121" spans="1:17">
      <c r="A121" s="558" t="s">
        <v>2029</v>
      </c>
      <c r="B121" s="50" t="s">
        <v>69</v>
      </c>
      <c r="C121" s="503" t="s">
        <v>2047</v>
      </c>
      <c r="D121" s="501" t="s">
        <v>95</v>
      </c>
      <c r="E121" s="500">
        <f>E116</f>
        <v>0</v>
      </c>
      <c r="F121" s="500">
        <f>F116+Tableau3[[#This Row],[Janvier]]</f>
        <v>566</v>
      </c>
      <c r="G121" s="500">
        <f>G116+Tableau3[[#This Row],[Février]]</f>
        <v>1111</v>
      </c>
      <c r="H121" s="500">
        <f>H116+Tableau3[[#This Row],[Mars]]</f>
        <v>1111</v>
      </c>
      <c r="I121" s="500">
        <f>I116+Tableau3[[#This Row],[Avril]]</f>
        <v>1111</v>
      </c>
      <c r="J121" s="500">
        <f>J116+Tableau3[[#This Row],[Mai]]</f>
        <v>1111</v>
      </c>
      <c r="K121" s="500">
        <f>K116+Tableau3[[#This Row],[Juin]]</f>
        <v>1111</v>
      </c>
      <c r="L121" s="500">
        <f>L116+Tableau3[[#This Row],[Juillet]]</f>
        <v>1111</v>
      </c>
      <c r="M121" s="500">
        <f>M116+Tableau3[[#This Row],[Août]]</f>
        <v>1111</v>
      </c>
      <c r="N121" s="500">
        <f>N116+Tableau3[[#This Row],[Septembre]]</f>
        <v>1111</v>
      </c>
      <c r="O121" s="500">
        <f>O116+Tableau3[[#This Row],[Octobre]]</f>
        <v>1111</v>
      </c>
      <c r="P121" s="500">
        <f>P116+Tableau3[[#This Row],[Novembre]]</f>
        <v>1111</v>
      </c>
      <c r="Q121" s="644"/>
    </row>
    <row r="122" spans="1:17">
      <c r="A122" s="558" t="s">
        <v>2029</v>
      </c>
      <c r="B122" s="50" t="s">
        <v>69</v>
      </c>
      <c r="C122" s="48"/>
      <c r="D122" s="515" t="s">
        <v>2026</v>
      </c>
      <c r="E122" s="567">
        <f>E117</f>
        <v>0</v>
      </c>
      <c r="F122" s="567">
        <f>F117+Tableau3[[#This Row],[Janvier]]</f>
        <v>3400</v>
      </c>
      <c r="G122" s="567">
        <f>G117+Tableau3[[#This Row],[Février]]</f>
        <v>3400</v>
      </c>
      <c r="H122" s="567">
        <f>H117+Tableau3[[#This Row],[Mars]]</f>
        <v>6200</v>
      </c>
      <c r="I122" s="567">
        <f>I117+Tableau3[[#This Row],[Avril]]</f>
        <v>10200</v>
      </c>
      <c r="J122" s="567">
        <f>J117+Tableau3[[#This Row],[Mai]]</f>
        <v>10200</v>
      </c>
      <c r="K122" s="567">
        <f>K117+Tableau3[[#This Row],[Juin]]</f>
        <v>10200</v>
      </c>
      <c r="L122" s="567">
        <f>L117+Tableau3[[#This Row],[Juillet]]</f>
        <v>15400</v>
      </c>
      <c r="M122" s="567">
        <f>M117+Tableau3[[#This Row],[Août]]</f>
        <v>21400</v>
      </c>
      <c r="N122" s="567">
        <f>N117+Tableau3[[#This Row],[Septembre]]</f>
        <v>34400</v>
      </c>
      <c r="O122" s="567">
        <f>O117+Tableau3[[#This Row],[Octobre]]</f>
        <v>46400</v>
      </c>
      <c r="P122" s="567">
        <f>P117+Tableau3[[#This Row],[Novembre]]</f>
        <v>46400</v>
      </c>
      <c r="Q122" s="647"/>
    </row>
    <row r="123" spans="1:17">
      <c r="A123" s="558" t="s">
        <v>2029</v>
      </c>
      <c r="B123" s="50" t="s">
        <v>69</v>
      </c>
      <c r="C123" s="49"/>
      <c r="D123" s="504" t="s">
        <v>2030</v>
      </c>
      <c r="E123" s="505">
        <f>E118</f>
        <v>0</v>
      </c>
      <c r="F123" s="505">
        <f>F118+Tableau3[[#This Row],[Janvier]]</f>
        <v>3400</v>
      </c>
      <c r="G123" s="505">
        <f>G118+Tableau3[[#This Row],[Février]]</f>
        <v>3400</v>
      </c>
      <c r="H123" s="505">
        <f>H118+Tableau3[[#This Row],[Mars]]</f>
        <v>6200</v>
      </c>
      <c r="I123" s="505">
        <f>I118+Tableau3[[#This Row],[Avril]]</f>
        <v>10200</v>
      </c>
      <c r="J123" s="505">
        <f>J118+Tableau3[[#This Row],[Mai]]</f>
        <v>10200</v>
      </c>
      <c r="K123" s="505">
        <f>K118+Tableau3[[#This Row],[Juin]]</f>
        <v>20450</v>
      </c>
      <c r="L123" s="505">
        <f>L118+Tableau3[[#This Row],[Juillet]]</f>
        <v>27650</v>
      </c>
      <c r="M123" s="505">
        <f>M118+Tableau3[[#This Row],[Août]]</f>
        <v>33650</v>
      </c>
      <c r="N123" s="505">
        <f>N118+Tableau3[[#This Row],[Septembre]]</f>
        <v>46650</v>
      </c>
      <c r="O123" s="505">
        <f>O118+Tableau3[[#This Row],[Octobre]]</f>
        <v>58650</v>
      </c>
      <c r="P123" s="505">
        <f>P118+Tableau3[[#This Row],[Novembre]]</f>
        <v>58650</v>
      </c>
      <c r="Q123" s="646"/>
    </row>
    <row r="124" spans="1:17" ht="15.75" thickBot="1">
      <c r="A124" s="653" t="s">
        <v>2029</v>
      </c>
      <c r="B124" s="519" t="s">
        <v>69</v>
      </c>
      <c r="C124" s="554"/>
      <c r="D124" s="520" t="s">
        <v>78</v>
      </c>
      <c r="E124" s="521"/>
      <c r="F124" s="521"/>
      <c r="G124" s="521"/>
      <c r="H124" s="521"/>
      <c r="I124" s="521"/>
      <c r="J124" s="521"/>
      <c r="K124" s="521"/>
      <c r="L124" s="521"/>
      <c r="M124" s="521"/>
      <c r="N124" s="521"/>
      <c r="O124" s="521"/>
      <c r="P124" s="521"/>
      <c r="Q124" s="548"/>
    </row>
    <row r="125" spans="1:17" s="513" customFormat="1">
      <c r="A125" s="556" t="s">
        <v>2029</v>
      </c>
      <c r="B125" s="517" t="s">
        <v>68</v>
      </c>
      <c r="C125" s="510"/>
      <c r="D125" s="512"/>
      <c r="E125" s="507" t="s">
        <v>29</v>
      </c>
      <c r="F125" s="507" t="s">
        <v>30</v>
      </c>
      <c r="G125" s="507" t="s">
        <v>31</v>
      </c>
      <c r="H125" s="507" t="s">
        <v>32</v>
      </c>
      <c r="I125" s="507" t="s">
        <v>33</v>
      </c>
      <c r="J125" s="507" t="s">
        <v>34</v>
      </c>
      <c r="K125" s="507" t="s">
        <v>35</v>
      </c>
      <c r="L125" s="507" t="s">
        <v>65</v>
      </c>
      <c r="M125" s="507" t="s">
        <v>37</v>
      </c>
      <c r="N125" s="507" t="s">
        <v>38</v>
      </c>
      <c r="O125" s="507" t="s">
        <v>39</v>
      </c>
      <c r="P125" s="508" t="s">
        <v>40</v>
      </c>
      <c r="Q125" s="509" t="s">
        <v>4</v>
      </c>
    </row>
    <row r="126" spans="1:17">
      <c r="A126" s="89" t="s">
        <v>2029</v>
      </c>
      <c r="B126" s="50" t="s">
        <v>68</v>
      </c>
      <c r="C126" s="502"/>
      <c r="D126" s="41" t="s">
        <v>66</v>
      </c>
      <c r="E126" s="55">
        <v>0</v>
      </c>
      <c r="F126" s="55">
        <v>0</v>
      </c>
      <c r="G126" s="55">
        <v>0</v>
      </c>
      <c r="H126" s="55"/>
      <c r="I126" s="55"/>
      <c r="J126" s="55"/>
      <c r="K126" s="55"/>
      <c r="L126" s="55"/>
      <c r="M126" s="55"/>
      <c r="N126" s="55"/>
      <c r="O126" s="55"/>
      <c r="P126" s="56"/>
      <c r="Q126" s="56">
        <f>SUM(Tableau3[[#This Row],[Janvier]:[Décembre]])</f>
        <v>0</v>
      </c>
    </row>
    <row r="127" spans="1:17">
      <c r="A127" s="89" t="s">
        <v>2029</v>
      </c>
      <c r="B127" s="50" t="s">
        <v>68</v>
      </c>
      <c r="C127" s="48"/>
      <c r="D127" s="37" t="s">
        <v>67</v>
      </c>
      <c r="E127" s="99">
        <v>0</v>
      </c>
      <c r="F127" s="99">
        <v>0</v>
      </c>
      <c r="G127" s="99">
        <v>0</v>
      </c>
      <c r="H127" s="99"/>
      <c r="I127" s="99"/>
      <c r="J127" s="99"/>
      <c r="K127" s="99"/>
      <c r="L127" s="99"/>
      <c r="M127" s="99"/>
      <c r="N127" s="99"/>
      <c r="O127" s="99"/>
      <c r="P127" s="99"/>
      <c r="Q127" s="100">
        <f>SUM(Tableau3[[#This Row],[Janvier]:[Décembre]])</f>
        <v>0</v>
      </c>
    </row>
    <row r="128" spans="1:17">
      <c r="A128" s="89" t="s">
        <v>2029</v>
      </c>
      <c r="B128" s="50" t="s">
        <v>68</v>
      </c>
      <c r="C128" s="503" t="s">
        <v>2024</v>
      </c>
      <c r="D128" s="506" t="s">
        <v>2018</v>
      </c>
      <c r="E128" s="499">
        <f>E126+E127</f>
        <v>0</v>
      </c>
      <c r="F128" s="499">
        <f>F126+F127</f>
        <v>0</v>
      </c>
      <c r="G128" s="499">
        <f t="shared" ref="G128:P128" si="10">G126+G127</f>
        <v>0</v>
      </c>
      <c r="H128" s="499">
        <f t="shared" si="10"/>
        <v>0</v>
      </c>
      <c r="I128" s="499">
        <f t="shared" si="10"/>
        <v>0</v>
      </c>
      <c r="J128" s="499">
        <f t="shared" si="10"/>
        <v>0</v>
      </c>
      <c r="K128" s="499">
        <f t="shared" si="10"/>
        <v>0</v>
      </c>
      <c r="L128" s="499">
        <f t="shared" si="10"/>
        <v>0</v>
      </c>
      <c r="M128" s="499">
        <f t="shared" si="10"/>
        <v>0</v>
      </c>
      <c r="N128" s="499">
        <f t="shared" si="10"/>
        <v>0</v>
      </c>
      <c r="O128" s="499">
        <f t="shared" si="10"/>
        <v>0</v>
      </c>
      <c r="P128" s="499">
        <f t="shared" si="10"/>
        <v>0</v>
      </c>
      <c r="Q128" s="566">
        <f>Q126+Q127</f>
        <v>0</v>
      </c>
    </row>
    <row r="129" spans="1:17">
      <c r="A129" s="89" t="s">
        <v>2029</v>
      </c>
      <c r="B129" s="50" t="s">
        <v>68</v>
      </c>
      <c r="C129" s="48"/>
      <c r="D129" s="90" t="s">
        <v>86</v>
      </c>
      <c r="E129" s="91">
        <v>2400</v>
      </c>
      <c r="F129" s="91">
        <v>0</v>
      </c>
      <c r="G129" s="91">
        <v>0</v>
      </c>
      <c r="H129" s="91">
        <v>0</v>
      </c>
      <c r="I129" s="91">
        <v>0</v>
      </c>
      <c r="J129" s="91">
        <v>0</v>
      </c>
      <c r="K129" s="91">
        <v>0</v>
      </c>
      <c r="L129" s="91">
        <v>1200</v>
      </c>
      <c r="M129" s="91">
        <v>4200</v>
      </c>
      <c r="N129" s="91">
        <v>8800</v>
      </c>
      <c r="O129" s="91">
        <v>3000</v>
      </c>
      <c r="P129" s="91">
        <v>0</v>
      </c>
      <c r="Q129" s="91">
        <f>SUM(Tableau3[[#This Row],[Janvier]:[Décembre]])</f>
        <v>19600</v>
      </c>
    </row>
    <row r="130" spans="1:17">
      <c r="A130" s="89" t="s">
        <v>2029</v>
      </c>
      <c r="B130" s="50" t="s">
        <v>68</v>
      </c>
      <c r="C130" s="49"/>
      <c r="D130" s="24" t="s">
        <v>1912</v>
      </c>
      <c r="E130" s="495">
        <v>2400</v>
      </c>
      <c r="F130" s="495">
        <v>0</v>
      </c>
      <c r="G130" s="495">
        <v>0</v>
      </c>
      <c r="H130" s="495">
        <v>0</v>
      </c>
      <c r="I130" s="495">
        <v>0</v>
      </c>
      <c r="J130" s="495">
        <v>3000</v>
      </c>
      <c r="K130" s="495">
        <v>10000</v>
      </c>
      <c r="L130" s="495">
        <v>6000</v>
      </c>
      <c r="M130" s="495">
        <v>3000</v>
      </c>
      <c r="N130" s="495">
        <v>4000</v>
      </c>
      <c r="O130" s="495">
        <v>3000</v>
      </c>
      <c r="P130" s="495">
        <v>0</v>
      </c>
      <c r="Q130" s="495">
        <f>SUM(Tableau3[[#This Row],[Janvier]:[Décembre]])</f>
        <v>31400</v>
      </c>
    </row>
    <row r="131" spans="1:17">
      <c r="A131" s="89" t="s">
        <v>2029</v>
      </c>
      <c r="B131" s="50" t="s">
        <v>68</v>
      </c>
      <c r="C131" s="502"/>
      <c r="D131" s="516" t="s">
        <v>2019</v>
      </c>
      <c r="E131" s="563">
        <f>E126</f>
        <v>0</v>
      </c>
      <c r="F131" s="563">
        <f>F126+Tableau3[[#This Row],[Janvier]]</f>
        <v>0</v>
      </c>
      <c r="G131" s="563">
        <f>G126+Tableau3[[#This Row],[Février]]</f>
        <v>0</v>
      </c>
      <c r="H131" s="563">
        <f>H126+Tableau3[[#This Row],[Mars]]</f>
        <v>0</v>
      </c>
      <c r="I131" s="563">
        <f>I126+Tableau3[[#This Row],[Avril]]</f>
        <v>0</v>
      </c>
      <c r="J131" s="563">
        <f>J126+Tableau3[[#This Row],[Mai]]</f>
        <v>0</v>
      </c>
      <c r="K131" s="563">
        <f>K126+Tableau3[[#This Row],[Juin]]</f>
        <v>0</v>
      </c>
      <c r="L131" s="563">
        <f>L126+Tableau3[[#This Row],[Juillet]]</f>
        <v>0</v>
      </c>
      <c r="M131" s="563">
        <f>M126+Tableau3[[#This Row],[Août]]</f>
        <v>0</v>
      </c>
      <c r="N131" s="563">
        <f>N126+Tableau3[[#This Row],[Septembre]]</f>
        <v>0</v>
      </c>
      <c r="O131" s="563">
        <f>O126+Tableau3[[#This Row],[Octobre]]</f>
        <v>0</v>
      </c>
      <c r="P131" s="563">
        <f>P126+Tableau3[[#This Row],[Novembre]]</f>
        <v>0</v>
      </c>
      <c r="Q131" s="642"/>
    </row>
    <row r="132" spans="1:17">
      <c r="A132" s="89" t="s">
        <v>2029</v>
      </c>
      <c r="B132" s="50" t="s">
        <v>68</v>
      </c>
      <c r="C132" s="48"/>
      <c r="D132" s="497" t="s">
        <v>2017</v>
      </c>
      <c r="E132" s="498">
        <f>E127</f>
        <v>0</v>
      </c>
      <c r="F132" s="498">
        <f>F127+Tableau3[[#This Row],[Janvier]]</f>
        <v>0</v>
      </c>
      <c r="G132" s="498">
        <f>G127+Tableau3[[#This Row],[Février]]</f>
        <v>0</v>
      </c>
      <c r="H132" s="498">
        <f>H127+Tableau3[[#This Row],[Mars]]</f>
        <v>0</v>
      </c>
      <c r="I132" s="498">
        <f>I127+Tableau3[[#This Row],[Avril]]</f>
        <v>0</v>
      </c>
      <c r="J132" s="498">
        <f>J127+Tableau3[[#This Row],[Mai]]</f>
        <v>0</v>
      </c>
      <c r="K132" s="498">
        <f>K127+Tableau3[[#This Row],[Juin]]</f>
        <v>0</v>
      </c>
      <c r="L132" s="498">
        <f>L127+Tableau3[[#This Row],[Juillet]]</f>
        <v>0</v>
      </c>
      <c r="M132" s="498">
        <f>M127+Tableau3[[#This Row],[Août]]</f>
        <v>0</v>
      </c>
      <c r="N132" s="498">
        <f>N127+Tableau3[[#This Row],[Septembre]]</f>
        <v>0</v>
      </c>
      <c r="O132" s="498">
        <f>O127+Tableau3[[#This Row],[Octobre]]</f>
        <v>0</v>
      </c>
      <c r="P132" s="498">
        <f>P127+Tableau3[[#This Row],[Novembre]]</f>
        <v>0</v>
      </c>
      <c r="Q132" s="643"/>
    </row>
    <row r="133" spans="1:17">
      <c r="A133" s="89" t="s">
        <v>2029</v>
      </c>
      <c r="B133" s="50" t="s">
        <v>68</v>
      </c>
      <c r="C133" s="503" t="s">
        <v>2047</v>
      </c>
      <c r="D133" s="501" t="s">
        <v>95</v>
      </c>
      <c r="E133" s="500">
        <f>E128</f>
        <v>0</v>
      </c>
      <c r="F133" s="500">
        <f>F128+Tableau3[[#This Row],[Janvier]]</f>
        <v>0</v>
      </c>
      <c r="G133" s="500">
        <f>G128+Tableau3[[#This Row],[Février]]</f>
        <v>0</v>
      </c>
      <c r="H133" s="500">
        <f>H128+Tableau3[[#This Row],[Mars]]</f>
        <v>0</v>
      </c>
      <c r="I133" s="500">
        <f>I128+Tableau3[[#This Row],[Avril]]</f>
        <v>0</v>
      </c>
      <c r="J133" s="500">
        <f>J128+Tableau3[[#This Row],[Mai]]</f>
        <v>0</v>
      </c>
      <c r="K133" s="500">
        <f>K128+Tableau3[[#This Row],[Juin]]</f>
        <v>0</v>
      </c>
      <c r="L133" s="500">
        <f>L128+Tableau3[[#This Row],[Juillet]]</f>
        <v>0</v>
      </c>
      <c r="M133" s="500">
        <f>M128+Tableau3[[#This Row],[Août]]</f>
        <v>0</v>
      </c>
      <c r="N133" s="500">
        <f>N128+Tableau3[[#This Row],[Septembre]]</f>
        <v>0</v>
      </c>
      <c r="O133" s="500">
        <f>O128+Tableau3[[#This Row],[Octobre]]</f>
        <v>0</v>
      </c>
      <c r="P133" s="500">
        <f>P128+Tableau3[[#This Row],[Novembre]]</f>
        <v>0</v>
      </c>
      <c r="Q133" s="644"/>
    </row>
    <row r="134" spans="1:17" ht="15" customHeight="1">
      <c r="A134" s="89" t="s">
        <v>2029</v>
      </c>
      <c r="B134" s="50" t="s">
        <v>68</v>
      </c>
      <c r="C134" s="48"/>
      <c r="D134" s="515" t="s">
        <v>2026</v>
      </c>
      <c r="E134" s="523">
        <f>E129</f>
        <v>2400</v>
      </c>
      <c r="F134" s="523">
        <f>F129+Tableau3[[#This Row],[Janvier]]</f>
        <v>2400</v>
      </c>
      <c r="G134" s="523">
        <f>G129+Tableau3[[#This Row],[Février]]</f>
        <v>2400</v>
      </c>
      <c r="H134" s="523">
        <f>H129+Tableau3[[#This Row],[Mars]]</f>
        <v>2400</v>
      </c>
      <c r="I134" s="523">
        <f>I129+Tableau3[[#This Row],[Avril]]</f>
        <v>2400</v>
      </c>
      <c r="J134" s="523">
        <f>J129+Tableau3[[#This Row],[Mai]]</f>
        <v>2400</v>
      </c>
      <c r="K134" s="523">
        <f>K129+Tableau3[[#This Row],[Juin]]</f>
        <v>2400</v>
      </c>
      <c r="L134" s="523">
        <f>L129+Tableau3[[#This Row],[Juillet]]</f>
        <v>3600</v>
      </c>
      <c r="M134" s="523">
        <f>M129+Tableau3[[#This Row],[Août]]</f>
        <v>7800</v>
      </c>
      <c r="N134" s="523">
        <f>N129+Tableau3[[#This Row],[Septembre]]</f>
        <v>16600</v>
      </c>
      <c r="O134" s="523">
        <f>O129+Tableau3[[#This Row],[Octobre]]</f>
        <v>19600</v>
      </c>
      <c r="P134" s="523">
        <f>P129+Tableau3[[#This Row],[Novembre]]</f>
        <v>19600</v>
      </c>
      <c r="Q134" s="645"/>
    </row>
    <row r="135" spans="1:17">
      <c r="A135" s="89" t="s">
        <v>2029</v>
      </c>
      <c r="B135" s="50" t="s">
        <v>68</v>
      </c>
      <c r="C135" s="49"/>
      <c r="D135" s="504" t="s">
        <v>2030</v>
      </c>
      <c r="E135" s="505">
        <f>E130</f>
        <v>2400</v>
      </c>
      <c r="F135" s="505">
        <f>F130+Tableau3[[#This Row],[Janvier]]</f>
        <v>2400</v>
      </c>
      <c r="G135" s="505">
        <f>G130+Tableau3[[#This Row],[Février]]</f>
        <v>2400</v>
      </c>
      <c r="H135" s="505">
        <f>H130+Tableau3[[#This Row],[Mars]]</f>
        <v>2400</v>
      </c>
      <c r="I135" s="505">
        <f>I130+Tableau3[[#This Row],[Avril]]</f>
        <v>2400</v>
      </c>
      <c r="J135" s="505">
        <f>J130+Tableau3[[#This Row],[Mai]]</f>
        <v>5400</v>
      </c>
      <c r="K135" s="505">
        <f>K130+Tableau3[[#This Row],[Juin]]</f>
        <v>15400</v>
      </c>
      <c r="L135" s="505">
        <f>L130+Tableau3[[#This Row],[Juillet]]</f>
        <v>21400</v>
      </c>
      <c r="M135" s="505">
        <f>M130+Tableau3[[#This Row],[Août]]</f>
        <v>24400</v>
      </c>
      <c r="N135" s="505">
        <f>N130+Tableau3[[#This Row],[Septembre]]</f>
        <v>28400</v>
      </c>
      <c r="O135" s="505">
        <f>O130+Tableau3[[#This Row],[Octobre]]</f>
        <v>31400</v>
      </c>
      <c r="P135" s="505">
        <f>P130+Tableau3[[#This Row],[Novembre]]</f>
        <v>31400</v>
      </c>
      <c r="Q135" s="646"/>
    </row>
    <row r="136" spans="1:17" ht="15.75" thickBot="1">
      <c r="A136" s="89" t="s">
        <v>2029</v>
      </c>
      <c r="B136" s="514" t="s">
        <v>68</v>
      </c>
      <c r="C136" s="549"/>
      <c r="D136" s="555" t="s">
        <v>78</v>
      </c>
      <c r="E136" s="551"/>
      <c r="F136" s="551"/>
      <c r="G136" s="551"/>
      <c r="H136" s="551"/>
      <c r="I136" s="551"/>
      <c r="J136" s="551"/>
      <c r="K136" s="551"/>
      <c r="L136" s="551"/>
      <c r="M136" s="551"/>
      <c r="N136" s="551"/>
      <c r="O136" s="551"/>
      <c r="P136" s="551"/>
      <c r="Q136" s="553"/>
    </row>
    <row r="137" spans="1:17" s="513" customFormat="1">
      <c r="A137" s="557" t="s">
        <v>2029</v>
      </c>
      <c r="B137" s="531" t="s">
        <v>64</v>
      </c>
      <c r="C137" s="531"/>
      <c r="D137" s="532"/>
      <c r="E137" s="533" t="s">
        <v>29</v>
      </c>
      <c r="F137" s="533" t="s">
        <v>30</v>
      </c>
      <c r="G137" s="533" t="s">
        <v>31</v>
      </c>
      <c r="H137" s="533" t="s">
        <v>32</v>
      </c>
      <c r="I137" s="533" t="s">
        <v>33</v>
      </c>
      <c r="J137" s="533" t="s">
        <v>34</v>
      </c>
      <c r="K137" s="533" t="s">
        <v>35</v>
      </c>
      <c r="L137" s="533" t="s">
        <v>65</v>
      </c>
      <c r="M137" s="533" t="s">
        <v>37</v>
      </c>
      <c r="N137" s="533" t="s">
        <v>38</v>
      </c>
      <c r="O137" s="533" t="s">
        <v>39</v>
      </c>
      <c r="P137" s="534" t="s">
        <v>40</v>
      </c>
      <c r="Q137" s="535" t="s">
        <v>4</v>
      </c>
    </row>
    <row r="138" spans="1:17">
      <c r="A138" s="558" t="s">
        <v>2029</v>
      </c>
      <c r="B138" s="50" t="s">
        <v>64</v>
      </c>
      <c r="C138" s="502"/>
      <c r="D138" s="41" t="s">
        <v>66</v>
      </c>
      <c r="E138" s="55">
        <v>4747</v>
      </c>
      <c r="F138" s="55">
        <v>16635</v>
      </c>
      <c r="G138" s="55">
        <v>16735</v>
      </c>
      <c r="H138" s="55"/>
      <c r="I138" s="55"/>
      <c r="J138" s="55"/>
      <c r="K138" s="55"/>
      <c r="L138" s="55"/>
      <c r="M138" s="55"/>
      <c r="N138" s="55"/>
      <c r="O138" s="55"/>
      <c r="P138" s="56"/>
      <c r="Q138" s="537">
        <f>SUM(Tableau3[[#This Row],[Janvier]:[Décembre]])</f>
        <v>38117</v>
      </c>
    </row>
    <row r="139" spans="1:17">
      <c r="A139" s="558" t="s">
        <v>2029</v>
      </c>
      <c r="B139" s="50" t="s">
        <v>64</v>
      </c>
      <c r="C139" s="48"/>
      <c r="D139" s="37" t="s">
        <v>67</v>
      </c>
      <c r="E139" s="99">
        <v>59</v>
      </c>
      <c r="F139" s="99">
        <v>3796</v>
      </c>
      <c r="G139" s="99">
        <v>2385</v>
      </c>
      <c r="H139" s="99"/>
      <c r="I139" s="99"/>
      <c r="J139" s="99"/>
      <c r="K139" s="99"/>
      <c r="L139" s="99"/>
      <c r="M139" s="99"/>
      <c r="N139" s="99"/>
      <c r="O139" s="99"/>
      <c r="P139" s="99"/>
      <c r="Q139" s="538">
        <f>SUM(Tableau3[[#This Row],[Janvier]:[Décembre]])</f>
        <v>6240</v>
      </c>
    </row>
    <row r="140" spans="1:17">
      <c r="A140" s="558" t="s">
        <v>2029</v>
      </c>
      <c r="B140" s="50" t="s">
        <v>64</v>
      </c>
      <c r="C140" s="503" t="s">
        <v>2024</v>
      </c>
      <c r="D140" s="506" t="s">
        <v>2018</v>
      </c>
      <c r="E140" s="499">
        <f>E138+E139</f>
        <v>4806</v>
      </c>
      <c r="F140" s="499">
        <f>F138+F139</f>
        <v>20431</v>
      </c>
      <c r="G140" s="499">
        <f>G138+G139</f>
        <v>19120</v>
      </c>
      <c r="H140" s="499">
        <f t="shared" ref="H140:P140" si="11">H138+H139</f>
        <v>0</v>
      </c>
      <c r="I140" s="499">
        <f t="shared" si="11"/>
        <v>0</v>
      </c>
      <c r="J140" s="499">
        <f t="shared" si="11"/>
        <v>0</v>
      </c>
      <c r="K140" s="499">
        <f t="shared" si="11"/>
        <v>0</v>
      </c>
      <c r="L140" s="499">
        <f t="shared" si="11"/>
        <v>0</v>
      </c>
      <c r="M140" s="499">
        <f t="shared" si="11"/>
        <v>0</v>
      </c>
      <c r="N140" s="499">
        <f t="shared" si="11"/>
        <v>0</v>
      </c>
      <c r="O140" s="499">
        <f t="shared" si="11"/>
        <v>0</v>
      </c>
      <c r="P140" s="499">
        <f t="shared" si="11"/>
        <v>0</v>
      </c>
      <c r="Q140" s="539">
        <f>Q138+Q139</f>
        <v>44357</v>
      </c>
    </row>
    <row r="141" spans="1:17">
      <c r="A141" s="558" t="s">
        <v>2029</v>
      </c>
      <c r="B141" s="50" t="s">
        <v>64</v>
      </c>
      <c r="C141" s="48"/>
      <c r="D141" s="90" t="s">
        <v>86</v>
      </c>
      <c r="E141" s="91">
        <v>0</v>
      </c>
      <c r="F141" s="91">
        <v>8800</v>
      </c>
      <c r="G141" s="91">
        <v>16150</v>
      </c>
      <c r="H141" s="91">
        <v>11500</v>
      </c>
      <c r="I141" s="91">
        <v>4800</v>
      </c>
      <c r="J141" s="91">
        <v>13600</v>
      </c>
      <c r="K141" s="91">
        <v>38831</v>
      </c>
      <c r="L141" s="91">
        <v>46200</v>
      </c>
      <c r="M141" s="91">
        <v>35200</v>
      </c>
      <c r="N141" s="91">
        <v>29650</v>
      </c>
      <c r="O141" s="91">
        <v>17400</v>
      </c>
      <c r="P141" s="91">
        <v>4350</v>
      </c>
      <c r="Q141" s="540">
        <f>SUM(Tableau3[[#This Row],[Janvier]:[Décembre]])</f>
        <v>226481</v>
      </c>
    </row>
    <row r="142" spans="1:17">
      <c r="A142" s="558" t="s">
        <v>2029</v>
      </c>
      <c r="B142" s="50" t="s">
        <v>64</v>
      </c>
      <c r="C142" s="49"/>
      <c r="D142" s="24" t="s">
        <v>1912</v>
      </c>
      <c r="E142" s="495">
        <v>0</v>
      </c>
      <c r="F142" s="495">
        <v>10000</v>
      </c>
      <c r="G142" s="495">
        <v>19350</v>
      </c>
      <c r="H142" s="495">
        <v>18500</v>
      </c>
      <c r="I142" s="495">
        <v>6800</v>
      </c>
      <c r="J142" s="495">
        <v>20100</v>
      </c>
      <c r="K142" s="495">
        <v>48781</v>
      </c>
      <c r="L142" s="495">
        <v>30450</v>
      </c>
      <c r="M142" s="495">
        <v>26600</v>
      </c>
      <c r="N142" s="495">
        <v>29650</v>
      </c>
      <c r="O142" s="495">
        <v>17400</v>
      </c>
      <c r="P142" s="495">
        <v>4350</v>
      </c>
      <c r="Q142" s="541">
        <f>SUM(Tableau3[[#This Row],[Janvier]:[Décembre]])</f>
        <v>231981</v>
      </c>
    </row>
    <row r="143" spans="1:17">
      <c r="A143" s="558" t="s">
        <v>2029</v>
      </c>
      <c r="B143" s="50" t="s">
        <v>64</v>
      </c>
      <c r="C143" s="502"/>
      <c r="D143" s="516" t="s">
        <v>2019</v>
      </c>
      <c r="E143" s="563">
        <f>E138</f>
        <v>4747</v>
      </c>
      <c r="F143" s="563">
        <f>F138+Tableau3[[#This Row],[Janvier]]</f>
        <v>21382</v>
      </c>
      <c r="G143" s="563">
        <f>G138+Tableau3[[#This Row],[Février]]</f>
        <v>38117</v>
      </c>
      <c r="H143" s="563">
        <f>H138+Tableau3[[#This Row],[Mars]]</f>
        <v>38117</v>
      </c>
      <c r="I143" s="563">
        <f>I138+Tableau3[[#This Row],[Avril]]</f>
        <v>38117</v>
      </c>
      <c r="J143" s="563">
        <f>J138+Tableau3[[#This Row],[Mai]]</f>
        <v>38117</v>
      </c>
      <c r="K143" s="563">
        <f>K138+Tableau3[[#This Row],[Juin]]</f>
        <v>38117</v>
      </c>
      <c r="L143" s="563">
        <f>L138+Tableau3[[#This Row],[Juillet]]</f>
        <v>38117</v>
      </c>
      <c r="M143" s="563">
        <f>M138+Tableau3[[#This Row],[Août]]</f>
        <v>38117</v>
      </c>
      <c r="N143" s="563">
        <f>N138+Tableau3[[#This Row],[Septembre]]</f>
        <v>38117</v>
      </c>
      <c r="O143" s="563">
        <f>O138+Tableau3[[#This Row],[Octobre]]</f>
        <v>38117</v>
      </c>
      <c r="P143" s="563">
        <f>P138+Tableau3[[#This Row],[Novembre]]</f>
        <v>38117</v>
      </c>
      <c r="Q143" s="642"/>
    </row>
    <row r="144" spans="1:17">
      <c r="A144" s="558" t="s">
        <v>2029</v>
      </c>
      <c r="B144" s="50" t="s">
        <v>64</v>
      </c>
      <c r="C144" s="48"/>
      <c r="D144" s="497" t="s">
        <v>2017</v>
      </c>
      <c r="E144" s="498">
        <f>E139</f>
        <v>59</v>
      </c>
      <c r="F144" s="498">
        <f>F139+Tableau3[[#This Row],[Janvier]]</f>
        <v>3855</v>
      </c>
      <c r="G144" s="498">
        <f>G139+Tableau3[[#This Row],[Février]]</f>
        <v>6240</v>
      </c>
      <c r="H144" s="498">
        <f>H139+Tableau3[[#This Row],[Mars]]</f>
        <v>6240</v>
      </c>
      <c r="I144" s="498">
        <f>I139+Tableau3[[#This Row],[Avril]]</f>
        <v>6240</v>
      </c>
      <c r="J144" s="498">
        <f>J139+Tableau3[[#This Row],[Mai]]</f>
        <v>6240</v>
      </c>
      <c r="K144" s="498">
        <f>K139+Tableau3[[#This Row],[Juin]]</f>
        <v>6240</v>
      </c>
      <c r="L144" s="498">
        <f>L139+Tableau3[[#This Row],[Juillet]]</f>
        <v>6240</v>
      </c>
      <c r="M144" s="498">
        <f>M139+Tableau3[[#This Row],[Août]]</f>
        <v>6240</v>
      </c>
      <c r="N144" s="498">
        <f>N139+Tableau3[[#This Row],[Septembre]]</f>
        <v>6240</v>
      </c>
      <c r="O144" s="498">
        <f>O139+Tableau3[[#This Row],[Octobre]]</f>
        <v>6240</v>
      </c>
      <c r="P144" s="498">
        <f>P139+Tableau3[[#This Row],[Novembre]]</f>
        <v>6240</v>
      </c>
      <c r="Q144" s="643"/>
    </row>
    <row r="145" spans="1:17">
      <c r="A145" s="558" t="s">
        <v>2029</v>
      </c>
      <c r="B145" s="50" t="s">
        <v>64</v>
      </c>
      <c r="C145" s="503" t="s">
        <v>2047</v>
      </c>
      <c r="D145" s="501" t="s">
        <v>95</v>
      </c>
      <c r="E145" s="500">
        <f>E140</f>
        <v>4806</v>
      </c>
      <c r="F145" s="500">
        <f>F140+Tableau3[[#This Row],[Janvier]]</f>
        <v>25237</v>
      </c>
      <c r="G145" s="500">
        <f>G140+Tableau3[[#This Row],[Février]]</f>
        <v>44357</v>
      </c>
      <c r="H145" s="500">
        <f>H140+Tableau3[[#This Row],[Mars]]</f>
        <v>44357</v>
      </c>
      <c r="I145" s="500">
        <f>I140+Tableau3[[#This Row],[Avril]]</f>
        <v>44357</v>
      </c>
      <c r="J145" s="500">
        <f>J140+Tableau3[[#This Row],[Mai]]</f>
        <v>44357</v>
      </c>
      <c r="K145" s="500">
        <f>K140+Tableau3[[#This Row],[Juin]]</f>
        <v>44357</v>
      </c>
      <c r="L145" s="500">
        <f>L140+Tableau3[[#This Row],[Juillet]]</f>
        <v>44357</v>
      </c>
      <c r="M145" s="500">
        <f>M140+Tableau3[[#This Row],[Août]]</f>
        <v>44357</v>
      </c>
      <c r="N145" s="500">
        <f>N140+Tableau3[[#This Row],[Septembre]]</f>
        <v>44357</v>
      </c>
      <c r="O145" s="500">
        <f>O140+Tableau3[[#This Row],[Octobre]]</f>
        <v>44357</v>
      </c>
      <c r="P145" s="500">
        <f>P140+Tableau3[[#This Row],[Novembre]]</f>
        <v>44357</v>
      </c>
      <c r="Q145" s="644"/>
    </row>
    <row r="146" spans="1:17">
      <c r="A146" s="558" t="s">
        <v>2029</v>
      </c>
      <c r="B146" s="50" t="s">
        <v>64</v>
      </c>
      <c r="C146" s="48"/>
      <c r="D146" s="515" t="s">
        <v>2026</v>
      </c>
      <c r="E146" s="523">
        <f>E141</f>
        <v>0</v>
      </c>
      <c r="F146" s="523">
        <f>F141+Tableau3[[#This Row],[Janvier]]</f>
        <v>8800</v>
      </c>
      <c r="G146" s="523">
        <f>G141+Tableau3[[#This Row],[Février]]</f>
        <v>24950</v>
      </c>
      <c r="H146" s="523">
        <f>H141+Tableau3[[#This Row],[Mars]]</f>
        <v>36450</v>
      </c>
      <c r="I146" s="523">
        <f>I141+Tableau3[[#This Row],[Avril]]</f>
        <v>41250</v>
      </c>
      <c r="J146" s="523">
        <f>J141+Tableau3[[#This Row],[Mai]]</f>
        <v>54850</v>
      </c>
      <c r="K146" s="523">
        <f>K141+Tableau3[[#This Row],[Juin]]</f>
        <v>93681</v>
      </c>
      <c r="L146" s="523">
        <f>L141+Tableau3[[#This Row],[Juillet]]</f>
        <v>139881</v>
      </c>
      <c r="M146" s="523">
        <f>M141+Tableau3[[#This Row],[Août]]</f>
        <v>175081</v>
      </c>
      <c r="N146" s="523">
        <f>N141+Tableau3[[#This Row],[Septembre]]</f>
        <v>204731</v>
      </c>
      <c r="O146" s="523">
        <f>O141+Tableau3[[#This Row],[Octobre]]</f>
        <v>222131</v>
      </c>
      <c r="P146" s="523">
        <f>P141+Tableau3[[#This Row],[Novembre]]</f>
        <v>226481</v>
      </c>
      <c r="Q146" s="645"/>
    </row>
    <row r="147" spans="1:17">
      <c r="A147" s="558" t="s">
        <v>2029</v>
      </c>
      <c r="B147" s="50" t="s">
        <v>64</v>
      </c>
      <c r="C147" s="49"/>
      <c r="D147" s="504" t="s">
        <v>2030</v>
      </c>
      <c r="E147" s="505">
        <f>E142</f>
        <v>0</v>
      </c>
      <c r="F147" s="505">
        <f>F142+Tableau3[[#This Row],[Janvier]]</f>
        <v>10000</v>
      </c>
      <c r="G147" s="505">
        <f>G142+Tableau3[[#This Row],[Février]]</f>
        <v>29350</v>
      </c>
      <c r="H147" s="505">
        <f>H142+Tableau3[[#This Row],[Mars]]</f>
        <v>47850</v>
      </c>
      <c r="I147" s="505">
        <f>I142+Tableau3[[#This Row],[Avril]]</f>
        <v>54650</v>
      </c>
      <c r="J147" s="505">
        <f>J142+Tableau3[[#This Row],[Mai]]</f>
        <v>74750</v>
      </c>
      <c r="K147" s="505">
        <f>K142+Tableau3[[#This Row],[Juin]]</f>
        <v>123531</v>
      </c>
      <c r="L147" s="505">
        <f>L142+Tableau3[[#This Row],[Juillet]]</f>
        <v>153981</v>
      </c>
      <c r="M147" s="505">
        <f>M142+Tableau3[[#This Row],[Août]]</f>
        <v>180581</v>
      </c>
      <c r="N147" s="505">
        <f>N142+Tableau3[[#This Row],[Septembre]]</f>
        <v>210231</v>
      </c>
      <c r="O147" s="505">
        <f>O142+Tableau3[[#This Row],[Octobre]]</f>
        <v>227631</v>
      </c>
      <c r="P147" s="505">
        <f>P142+Tableau3[[#This Row],[Novembre]]</f>
        <v>231981</v>
      </c>
      <c r="Q147" s="646"/>
    </row>
    <row r="148" spans="1:17" ht="15.75" thickBot="1">
      <c r="A148" s="653" t="s">
        <v>2029</v>
      </c>
      <c r="B148" s="519" t="s">
        <v>64</v>
      </c>
      <c r="C148" s="554"/>
      <c r="D148" s="520" t="s">
        <v>78</v>
      </c>
      <c r="E148" s="521"/>
      <c r="F148" s="521"/>
      <c r="G148" s="521"/>
      <c r="H148" s="521"/>
      <c r="I148" s="521"/>
      <c r="J148" s="521"/>
      <c r="K148" s="521"/>
      <c r="L148" s="521"/>
      <c r="M148" s="521"/>
      <c r="N148" s="521"/>
      <c r="O148" s="521"/>
      <c r="P148" s="521"/>
      <c r="Q148" s="548"/>
    </row>
    <row r="149" spans="1:17" s="513" customFormat="1">
      <c r="A149" s="556" t="s">
        <v>2029</v>
      </c>
      <c r="B149" s="517" t="s">
        <v>70</v>
      </c>
      <c r="C149" s="510"/>
      <c r="D149" s="512"/>
      <c r="E149" s="507" t="s">
        <v>29</v>
      </c>
      <c r="F149" s="507" t="s">
        <v>30</v>
      </c>
      <c r="G149" s="507" t="s">
        <v>31</v>
      </c>
      <c r="H149" s="507" t="s">
        <v>32</v>
      </c>
      <c r="I149" s="507" t="s">
        <v>33</v>
      </c>
      <c r="J149" s="507" t="s">
        <v>34</v>
      </c>
      <c r="K149" s="507" t="s">
        <v>35</v>
      </c>
      <c r="L149" s="507" t="s">
        <v>65</v>
      </c>
      <c r="M149" s="507" t="s">
        <v>37</v>
      </c>
      <c r="N149" s="507" t="s">
        <v>38</v>
      </c>
      <c r="O149" s="507" t="s">
        <v>39</v>
      </c>
      <c r="P149" s="508" t="s">
        <v>40</v>
      </c>
      <c r="Q149" s="509" t="s">
        <v>4</v>
      </c>
    </row>
    <row r="150" spans="1:17">
      <c r="A150" s="89" t="s">
        <v>2029</v>
      </c>
      <c r="B150" s="50" t="s">
        <v>70</v>
      </c>
      <c r="C150" s="502"/>
      <c r="D150" s="41" t="s">
        <v>66</v>
      </c>
      <c r="E150" s="55">
        <v>35890</v>
      </c>
      <c r="F150" s="55">
        <v>37887</v>
      </c>
      <c r="G150" s="55">
        <v>15111</v>
      </c>
      <c r="H150" s="55"/>
      <c r="I150" s="55"/>
      <c r="J150" s="55"/>
      <c r="K150" s="55"/>
      <c r="L150" s="55"/>
      <c r="M150" s="55"/>
      <c r="N150" s="55"/>
      <c r="O150" s="55"/>
      <c r="P150" s="56"/>
      <c r="Q150" s="56">
        <f>SUM(Tableau3[[#This Row],[Janvier]:[Décembre]])</f>
        <v>88888</v>
      </c>
    </row>
    <row r="151" spans="1:17">
      <c r="A151" s="89" t="s">
        <v>2029</v>
      </c>
      <c r="B151" s="50" t="s">
        <v>70</v>
      </c>
      <c r="C151" s="48"/>
      <c r="D151" s="37" t="s">
        <v>67</v>
      </c>
      <c r="E151" s="99">
        <v>663</v>
      </c>
      <c r="F151" s="99">
        <v>799</v>
      </c>
      <c r="G151" s="99">
        <v>0</v>
      </c>
      <c r="H151" s="99"/>
      <c r="I151" s="99"/>
      <c r="J151" s="99"/>
      <c r="K151" s="99"/>
      <c r="L151" s="99"/>
      <c r="M151" s="99"/>
      <c r="N151" s="99"/>
      <c r="O151" s="99"/>
      <c r="P151" s="99"/>
      <c r="Q151" s="100">
        <f>SUM(Tableau3[[#This Row],[Janvier]:[Décembre]])</f>
        <v>1462</v>
      </c>
    </row>
    <row r="152" spans="1:17">
      <c r="A152" s="89" t="s">
        <v>2029</v>
      </c>
      <c r="B152" s="50" t="s">
        <v>70</v>
      </c>
      <c r="C152" s="503" t="s">
        <v>2024</v>
      </c>
      <c r="D152" s="506" t="s">
        <v>2018</v>
      </c>
      <c r="E152" s="499">
        <f>E150+E151</f>
        <v>36553</v>
      </c>
      <c r="F152" s="499">
        <f>F150+F151</f>
        <v>38686</v>
      </c>
      <c r="G152" s="499">
        <f t="shared" ref="G152:P152" si="12">G150+G151</f>
        <v>15111</v>
      </c>
      <c r="H152" s="499">
        <f t="shared" si="12"/>
        <v>0</v>
      </c>
      <c r="I152" s="499">
        <f t="shared" si="12"/>
        <v>0</v>
      </c>
      <c r="J152" s="499">
        <f t="shared" si="12"/>
        <v>0</v>
      </c>
      <c r="K152" s="499">
        <f t="shared" si="12"/>
        <v>0</v>
      </c>
      <c r="L152" s="499">
        <f t="shared" si="12"/>
        <v>0</v>
      </c>
      <c r="M152" s="499">
        <f t="shared" si="12"/>
        <v>0</v>
      </c>
      <c r="N152" s="499">
        <f t="shared" si="12"/>
        <v>0</v>
      </c>
      <c r="O152" s="499">
        <f t="shared" si="12"/>
        <v>0</v>
      </c>
      <c r="P152" s="499">
        <f t="shared" si="12"/>
        <v>0</v>
      </c>
      <c r="Q152" s="566">
        <f>Q150+Q151</f>
        <v>90350</v>
      </c>
    </row>
    <row r="153" spans="1:17">
      <c r="A153" s="89" t="s">
        <v>2029</v>
      </c>
      <c r="B153" s="50" t="s">
        <v>70</v>
      </c>
      <c r="C153" s="48"/>
      <c r="D153" s="90" t="s">
        <v>86</v>
      </c>
      <c r="E153" s="91">
        <v>29800</v>
      </c>
      <c r="F153" s="91">
        <v>26800</v>
      </c>
      <c r="G153" s="91">
        <v>15600</v>
      </c>
      <c r="H153" s="91">
        <v>0</v>
      </c>
      <c r="I153" s="91">
        <v>1200</v>
      </c>
      <c r="J153" s="91">
        <v>2400</v>
      </c>
      <c r="K153" s="91">
        <v>3600</v>
      </c>
      <c r="L153" s="91">
        <v>4400</v>
      </c>
      <c r="M153" s="91">
        <v>4400</v>
      </c>
      <c r="N153" s="91">
        <v>5500</v>
      </c>
      <c r="O153" s="91">
        <v>3400</v>
      </c>
      <c r="P153" s="91">
        <v>0</v>
      </c>
      <c r="Q153" s="91">
        <f>SUM(Tableau3[[#This Row],[Janvier]:[Décembre]])</f>
        <v>97100</v>
      </c>
    </row>
    <row r="154" spans="1:17">
      <c r="A154" s="89" t="s">
        <v>2029</v>
      </c>
      <c r="B154" s="50" t="s">
        <v>70</v>
      </c>
      <c r="C154" s="49"/>
      <c r="D154" s="24" t="s">
        <v>1912</v>
      </c>
      <c r="E154" s="495">
        <v>29800</v>
      </c>
      <c r="F154" s="495">
        <v>0</v>
      </c>
      <c r="G154" s="495">
        <v>0</v>
      </c>
      <c r="H154" s="495">
        <v>0</v>
      </c>
      <c r="I154" s="495">
        <v>1200</v>
      </c>
      <c r="J154" s="495">
        <v>2400</v>
      </c>
      <c r="K154" s="495">
        <v>3600</v>
      </c>
      <c r="L154" s="495">
        <v>0</v>
      </c>
      <c r="M154" s="495">
        <v>0</v>
      </c>
      <c r="N154" s="495">
        <v>0</v>
      </c>
      <c r="O154" s="495">
        <v>0</v>
      </c>
      <c r="P154" s="495">
        <v>0</v>
      </c>
      <c r="Q154" s="495">
        <f>SUM(Tableau3[[#This Row],[Janvier]:[Décembre]])</f>
        <v>37000</v>
      </c>
    </row>
    <row r="155" spans="1:17">
      <c r="A155" s="89" t="s">
        <v>2029</v>
      </c>
      <c r="B155" s="50" t="s">
        <v>70</v>
      </c>
      <c r="C155" s="502"/>
      <c r="D155" s="516" t="s">
        <v>2019</v>
      </c>
      <c r="E155" s="563">
        <f>E150</f>
        <v>35890</v>
      </c>
      <c r="F155" s="563">
        <f>F150+Tableau3[[#This Row],[Janvier]]</f>
        <v>73777</v>
      </c>
      <c r="G155" s="563">
        <f>G150+Tableau3[[#This Row],[Février]]</f>
        <v>88888</v>
      </c>
      <c r="H155" s="563">
        <f>H150+Tableau3[[#This Row],[Mars]]</f>
        <v>88888</v>
      </c>
      <c r="I155" s="563">
        <f>I150+Tableau3[[#This Row],[Avril]]</f>
        <v>88888</v>
      </c>
      <c r="J155" s="563">
        <f>J150+Tableau3[[#This Row],[Mai]]</f>
        <v>88888</v>
      </c>
      <c r="K155" s="563">
        <f>K150+Tableau3[[#This Row],[Juin]]</f>
        <v>88888</v>
      </c>
      <c r="L155" s="563">
        <f>L150+Tableau3[[#This Row],[Juillet]]</f>
        <v>88888</v>
      </c>
      <c r="M155" s="563">
        <f>M150+Tableau3[[#This Row],[Août]]</f>
        <v>88888</v>
      </c>
      <c r="N155" s="563">
        <f>N150+Tableau3[[#This Row],[Septembre]]</f>
        <v>88888</v>
      </c>
      <c r="O155" s="563">
        <f>O150+Tableau3[[#This Row],[Octobre]]</f>
        <v>88888</v>
      </c>
      <c r="P155" s="563">
        <f>P150+Tableau3[[#This Row],[Novembre]]</f>
        <v>88888</v>
      </c>
      <c r="Q155" s="642"/>
    </row>
    <row r="156" spans="1:17">
      <c r="A156" s="89" t="s">
        <v>2029</v>
      </c>
      <c r="B156" s="50" t="s">
        <v>70</v>
      </c>
      <c r="C156" s="48"/>
      <c r="D156" s="497" t="s">
        <v>2017</v>
      </c>
      <c r="E156" s="498">
        <f>E151</f>
        <v>663</v>
      </c>
      <c r="F156" s="498">
        <f>F151+Tableau3[[#This Row],[Janvier]]</f>
        <v>1462</v>
      </c>
      <c r="G156" s="498">
        <f>G151+Tableau3[[#This Row],[Février]]</f>
        <v>1462</v>
      </c>
      <c r="H156" s="498">
        <f>H151+Tableau3[[#This Row],[Mars]]</f>
        <v>1462</v>
      </c>
      <c r="I156" s="498">
        <f>I151+Tableau3[[#This Row],[Avril]]</f>
        <v>1462</v>
      </c>
      <c r="J156" s="498">
        <f>J151+Tableau3[[#This Row],[Mai]]</f>
        <v>1462</v>
      </c>
      <c r="K156" s="498">
        <f>K151+Tableau3[[#This Row],[Juin]]</f>
        <v>1462</v>
      </c>
      <c r="L156" s="498">
        <f>L151+Tableau3[[#This Row],[Juillet]]</f>
        <v>1462</v>
      </c>
      <c r="M156" s="498">
        <f>M151+Tableau3[[#This Row],[Août]]</f>
        <v>1462</v>
      </c>
      <c r="N156" s="498">
        <f>N151+Tableau3[[#This Row],[Septembre]]</f>
        <v>1462</v>
      </c>
      <c r="O156" s="498">
        <f>O151+Tableau3[[#This Row],[Octobre]]</f>
        <v>1462</v>
      </c>
      <c r="P156" s="498">
        <f>P151+Tableau3[[#This Row],[Novembre]]</f>
        <v>1462</v>
      </c>
      <c r="Q156" s="643"/>
    </row>
    <row r="157" spans="1:17">
      <c r="A157" s="89" t="s">
        <v>2029</v>
      </c>
      <c r="B157" s="50" t="s">
        <v>70</v>
      </c>
      <c r="C157" s="503" t="s">
        <v>2047</v>
      </c>
      <c r="D157" s="501" t="s">
        <v>95</v>
      </c>
      <c r="E157" s="500">
        <f>E152</f>
        <v>36553</v>
      </c>
      <c r="F157" s="500">
        <f>F152+Tableau3[[#This Row],[Janvier]]</f>
        <v>75239</v>
      </c>
      <c r="G157" s="500">
        <f>G152+Tableau3[[#This Row],[Février]]</f>
        <v>90350</v>
      </c>
      <c r="H157" s="500">
        <f>H152+Tableau3[[#This Row],[Mars]]</f>
        <v>90350</v>
      </c>
      <c r="I157" s="500">
        <f>I152+Tableau3[[#This Row],[Avril]]</f>
        <v>90350</v>
      </c>
      <c r="J157" s="500">
        <f>J152+Tableau3[[#This Row],[Mai]]</f>
        <v>90350</v>
      </c>
      <c r="K157" s="500">
        <f>K152+Tableau3[[#This Row],[Juin]]</f>
        <v>90350</v>
      </c>
      <c r="L157" s="500">
        <f>L152+Tableau3[[#This Row],[Juillet]]</f>
        <v>90350</v>
      </c>
      <c r="M157" s="500">
        <f>M152+Tableau3[[#This Row],[Août]]</f>
        <v>90350</v>
      </c>
      <c r="N157" s="500">
        <f>N152+Tableau3[[#This Row],[Septembre]]</f>
        <v>90350</v>
      </c>
      <c r="O157" s="500">
        <f>O152+Tableau3[[#This Row],[Octobre]]</f>
        <v>90350</v>
      </c>
      <c r="P157" s="500">
        <f>P152+Tableau3[[#This Row],[Novembre]]</f>
        <v>90350</v>
      </c>
      <c r="Q157" s="644"/>
    </row>
    <row r="158" spans="1:17">
      <c r="A158" s="89" t="s">
        <v>2029</v>
      </c>
      <c r="B158" s="50" t="s">
        <v>70</v>
      </c>
      <c r="C158" s="48"/>
      <c r="D158" s="515" t="s">
        <v>2026</v>
      </c>
      <c r="E158" s="523">
        <f>E153</f>
        <v>29800</v>
      </c>
      <c r="F158" s="523">
        <f>F153+Tableau3[[#This Row],[Janvier]]</f>
        <v>56600</v>
      </c>
      <c r="G158" s="523">
        <f>G153+Tableau3[[#This Row],[Février]]</f>
        <v>72200</v>
      </c>
      <c r="H158" s="523">
        <f>H153+Tableau3[[#This Row],[Mars]]</f>
        <v>72200</v>
      </c>
      <c r="I158" s="523">
        <f>I153+Tableau3[[#This Row],[Avril]]</f>
        <v>73400</v>
      </c>
      <c r="J158" s="523">
        <f>J153+Tableau3[[#This Row],[Mai]]</f>
        <v>75800</v>
      </c>
      <c r="K158" s="523">
        <f>K153+Tableau3[[#This Row],[Juin]]</f>
        <v>79400</v>
      </c>
      <c r="L158" s="523">
        <f>L153+Tableau3[[#This Row],[Juillet]]</f>
        <v>83800</v>
      </c>
      <c r="M158" s="523">
        <f>M153+Tableau3[[#This Row],[Août]]</f>
        <v>88200</v>
      </c>
      <c r="N158" s="523">
        <f>N153+Tableau3[[#This Row],[Septembre]]</f>
        <v>93700</v>
      </c>
      <c r="O158" s="523">
        <f>O153+Tableau3[[#This Row],[Octobre]]</f>
        <v>97100</v>
      </c>
      <c r="P158" s="523">
        <f>P153+Tableau3[[#This Row],[Novembre]]</f>
        <v>97100</v>
      </c>
      <c r="Q158" s="645"/>
    </row>
    <row r="159" spans="1:17">
      <c r="A159" s="89" t="s">
        <v>2029</v>
      </c>
      <c r="B159" s="50" t="s">
        <v>70</v>
      </c>
      <c r="C159" s="49"/>
      <c r="D159" s="504" t="s">
        <v>2030</v>
      </c>
      <c r="E159" s="505">
        <f>E154</f>
        <v>29800</v>
      </c>
      <c r="F159" s="505">
        <f>F154+Tableau3[[#This Row],[Janvier]]</f>
        <v>29800</v>
      </c>
      <c r="G159" s="505">
        <f>G154+Tableau3[[#This Row],[Février]]</f>
        <v>29800</v>
      </c>
      <c r="H159" s="505">
        <f>H154+Tableau3[[#This Row],[Mars]]</f>
        <v>29800</v>
      </c>
      <c r="I159" s="505">
        <f>I154+Tableau3[[#This Row],[Avril]]</f>
        <v>31000</v>
      </c>
      <c r="J159" s="505">
        <f>J154+Tableau3[[#This Row],[Mai]]</f>
        <v>33400</v>
      </c>
      <c r="K159" s="505">
        <f>K154+Tableau3[[#This Row],[Juin]]</f>
        <v>37000</v>
      </c>
      <c r="L159" s="505">
        <f>L154+Tableau3[[#This Row],[Juillet]]</f>
        <v>37000</v>
      </c>
      <c r="M159" s="505">
        <f>M154+Tableau3[[#This Row],[Août]]</f>
        <v>37000</v>
      </c>
      <c r="N159" s="505">
        <f>N154+Tableau3[[#This Row],[Septembre]]</f>
        <v>37000</v>
      </c>
      <c r="O159" s="505">
        <f>O154+Tableau3[[#This Row],[Octobre]]</f>
        <v>37000</v>
      </c>
      <c r="P159" s="505">
        <f>P154+Tableau3[[#This Row],[Novembre]]</f>
        <v>37000</v>
      </c>
      <c r="Q159" s="646"/>
    </row>
    <row r="160" spans="1:17" ht="15.75" thickBot="1">
      <c r="A160" s="702" t="s">
        <v>2029</v>
      </c>
      <c r="B160" s="519" t="s">
        <v>70</v>
      </c>
      <c r="C160" s="554"/>
      <c r="D160" s="520" t="s">
        <v>78</v>
      </c>
      <c r="E160" s="521"/>
      <c r="F160" s="521"/>
      <c r="G160" s="521"/>
      <c r="H160" s="521"/>
      <c r="I160" s="521"/>
      <c r="J160" s="521"/>
      <c r="K160" s="521"/>
      <c r="L160" s="521"/>
      <c r="M160" s="521"/>
      <c r="N160" s="521"/>
      <c r="O160" s="521"/>
      <c r="P160" s="521"/>
      <c r="Q160" s="703"/>
    </row>
    <row r="161" spans="1:17" s="513" customFormat="1">
      <c r="A161" s="559" t="s">
        <v>91</v>
      </c>
      <c r="B161" s="517" t="s">
        <v>1913</v>
      </c>
      <c r="C161" s="510"/>
      <c r="D161" s="512"/>
      <c r="E161" s="507" t="s">
        <v>29</v>
      </c>
      <c r="F161" s="507" t="s">
        <v>30</v>
      </c>
      <c r="G161" s="507" t="s">
        <v>31</v>
      </c>
      <c r="H161" s="507" t="s">
        <v>32</v>
      </c>
      <c r="I161" s="507" t="s">
        <v>33</v>
      </c>
      <c r="J161" s="507" t="s">
        <v>34</v>
      </c>
      <c r="K161" s="507" t="s">
        <v>35</v>
      </c>
      <c r="L161" s="507" t="s">
        <v>65</v>
      </c>
      <c r="M161" s="507" t="s">
        <v>37</v>
      </c>
      <c r="N161" s="507" t="s">
        <v>38</v>
      </c>
      <c r="O161" s="507" t="s">
        <v>39</v>
      </c>
      <c r="P161" s="508" t="s">
        <v>40</v>
      </c>
      <c r="Q161" s="509" t="s">
        <v>4</v>
      </c>
    </row>
    <row r="162" spans="1:17">
      <c r="A162" s="88" t="s">
        <v>91</v>
      </c>
      <c r="B162" s="721" t="s">
        <v>1913</v>
      </c>
      <c r="C162" s="502"/>
      <c r="D162" s="41" t="s">
        <v>66</v>
      </c>
      <c r="E162" s="55">
        <v>16164</v>
      </c>
      <c r="F162" s="55">
        <v>17795</v>
      </c>
      <c r="G162" s="55">
        <v>28178</v>
      </c>
      <c r="H162" s="55"/>
      <c r="I162" s="55"/>
      <c r="J162" s="55"/>
      <c r="K162" s="55"/>
      <c r="L162" s="55"/>
      <c r="M162" s="55"/>
      <c r="N162" s="55"/>
      <c r="O162" s="55"/>
      <c r="P162" s="56"/>
      <c r="Q162" s="56">
        <f>SUM(Tableau3[[#This Row],[Janvier]:[Décembre]])</f>
        <v>62137</v>
      </c>
    </row>
    <row r="163" spans="1:17">
      <c r="A163" s="88" t="s">
        <v>91</v>
      </c>
      <c r="B163" s="721" t="s">
        <v>1913</v>
      </c>
      <c r="C163" s="48"/>
      <c r="D163" s="37" t="s">
        <v>67</v>
      </c>
      <c r="E163" s="99">
        <v>11388</v>
      </c>
      <c r="F163" s="99">
        <v>4323</v>
      </c>
      <c r="G163" s="99">
        <v>1165</v>
      </c>
      <c r="H163" s="99"/>
      <c r="I163" s="99"/>
      <c r="J163" s="99"/>
      <c r="K163" s="99"/>
      <c r="L163" s="99"/>
      <c r="M163" s="99"/>
      <c r="N163" s="99"/>
      <c r="O163" s="99"/>
      <c r="P163" s="99"/>
      <c r="Q163" s="100">
        <f>SUM(Tableau3[[#This Row],[Janvier]:[Décembre]])</f>
        <v>16876</v>
      </c>
    </row>
    <row r="164" spans="1:17">
      <c r="A164" s="88" t="s">
        <v>91</v>
      </c>
      <c r="B164" s="721" t="s">
        <v>1913</v>
      </c>
      <c r="C164" s="503" t="s">
        <v>2024</v>
      </c>
      <c r="D164" s="506" t="s">
        <v>2018</v>
      </c>
      <c r="E164" s="499">
        <f>E162+E163</f>
        <v>27552</v>
      </c>
      <c r="F164" s="499">
        <f>F162+F163</f>
        <v>22118</v>
      </c>
      <c r="G164" s="499">
        <f t="shared" ref="G164:P164" si="13">G162+G163</f>
        <v>29343</v>
      </c>
      <c r="H164" s="499">
        <f t="shared" si="13"/>
        <v>0</v>
      </c>
      <c r="I164" s="499">
        <f t="shared" si="13"/>
        <v>0</v>
      </c>
      <c r="J164" s="499">
        <f t="shared" si="13"/>
        <v>0</v>
      </c>
      <c r="K164" s="499">
        <f t="shared" si="13"/>
        <v>0</v>
      </c>
      <c r="L164" s="499">
        <f t="shared" si="13"/>
        <v>0</v>
      </c>
      <c r="M164" s="499">
        <f t="shared" si="13"/>
        <v>0</v>
      </c>
      <c r="N164" s="499">
        <f t="shared" si="13"/>
        <v>0</v>
      </c>
      <c r="O164" s="499">
        <f t="shared" si="13"/>
        <v>0</v>
      </c>
      <c r="P164" s="499">
        <f t="shared" si="13"/>
        <v>0</v>
      </c>
      <c r="Q164" s="566">
        <f>Q162+Q163</f>
        <v>79013</v>
      </c>
    </row>
    <row r="165" spans="1:17">
      <c r="A165" s="88" t="s">
        <v>91</v>
      </c>
      <c r="B165" s="721" t="s">
        <v>1913</v>
      </c>
      <c r="C165" s="48"/>
      <c r="D165" s="90" t="s">
        <v>86</v>
      </c>
      <c r="E165" s="91">
        <v>31250</v>
      </c>
      <c r="F165" s="91">
        <v>35900</v>
      </c>
      <c r="G165" s="91">
        <v>31125</v>
      </c>
      <c r="H165" s="91">
        <v>20700</v>
      </c>
      <c r="I165" s="91">
        <v>8800</v>
      </c>
      <c r="J165" s="91">
        <v>0</v>
      </c>
      <c r="K165" s="91">
        <v>1600</v>
      </c>
      <c r="L165" s="91">
        <v>4800</v>
      </c>
      <c r="M165" s="91">
        <v>6000</v>
      </c>
      <c r="N165" s="91">
        <v>6000</v>
      </c>
      <c r="O165" s="91">
        <v>4800</v>
      </c>
      <c r="P165" s="91">
        <v>2400</v>
      </c>
      <c r="Q165" s="91">
        <f>SUM(Tableau3[[#This Row],[Janvier]:[Décembre]])</f>
        <v>153375</v>
      </c>
    </row>
    <row r="166" spans="1:17">
      <c r="A166" s="88" t="s">
        <v>91</v>
      </c>
      <c r="B166" s="721" t="s">
        <v>1913</v>
      </c>
      <c r="C166" s="49"/>
      <c r="D166" s="24" t="s">
        <v>1912</v>
      </c>
      <c r="E166" s="495">
        <v>31250</v>
      </c>
      <c r="F166" s="495">
        <v>900</v>
      </c>
      <c r="G166" s="495">
        <v>32325</v>
      </c>
      <c r="H166" s="495">
        <v>20700</v>
      </c>
      <c r="I166" s="495">
        <v>9400</v>
      </c>
      <c r="J166" s="495">
        <v>8800</v>
      </c>
      <c r="K166" s="495">
        <v>1600</v>
      </c>
      <c r="L166" s="495">
        <v>4800</v>
      </c>
      <c r="M166" s="495">
        <v>11200</v>
      </c>
      <c r="N166" s="495">
        <v>14800</v>
      </c>
      <c r="O166" s="495">
        <v>12800</v>
      </c>
      <c r="P166" s="495">
        <v>9600</v>
      </c>
      <c r="Q166" s="495">
        <f>SUM(Tableau3[[#This Row],[Janvier]:[Décembre]])</f>
        <v>158175</v>
      </c>
    </row>
    <row r="167" spans="1:17">
      <c r="A167" s="88" t="s">
        <v>91</v>
      </c>
      <c r="B167" s="721" t="s">
        <v>1913</v>
      </c>
      <c r="C167" s="502"/>
      <c r="D167" s="516" t="s">
        <v>2019</v>
      </c>
      <c r="E167" s="563">
        <f>E162</f>
        <v>16164</v>
      </c>
      <c r="F167" s="563">
        <f>F162+Tableau3[[#This Row],[Janvier]]</f>
        <v>33959</v>
      </c>
      <c r="G167" s="563">
        <f>G162+Tableau3[[#This Row],[Février]]</f>
        <v>62137</v>
      </c>
      <c r="H167" s="563">
        <f>H162+Tableau3[[#This Row],[Mars]]</f>
        <v>62137</v>
      </c>
      <c r="I167" s="563">
        <f>I162+Tableau3[[#This Row],[Avril]]</f>
        <v>62137</v>
      </c>
      <c r="J167" s="563">
        <f>J162+Tableau3[[#This Row],[Mai]]</f>
        <v>62137</v>
      </c>
      <c r="K167" s="563">
        <f>K162+Tableau3[[#This Row],[Juin]]</f>
        <v>62137</v>
      </c>
      <c r="L167" s="563">
        <f>L162+Tableau3[[#This Row],[Juillet]]</f>
        <v>62137</v>
      </c>
      <c r="M167" s="563">
        <f>M162+Tableau3[[#This Row],[Août]]</f>
        <v>62137</v>
      </c>
      <c r="N167" s="563">
        <f>N162+Tableau3[[#This Row],[Septembre]]</f>
        <v>62137</v>
      </c>
      <c r="O167" s="563">
        <f>O162+Tableau3[[#This Row],[Octobre]]</f>
        <v>62137</v>
      </c>
      <c r="P167" s="563">
        <f>P162+Tableau3[[#This Row],[Novembre]]</f>
        <v>62137</v>
      </c>
      <c r="Q167" s="642"/>
    </row>
    <row r="168" spans="1:17">
      <c r="A168" s="88" t="s">
        <v>91</v>
      </c>
      <c r="B168" s="721" t="s">
        <v>1913</v>
      </c>
      <c r="C168" s="48"/>
      <c r="D168" s="497" t="s">
        <v>2017</v>
      </c>
      <c r="E168" s="498">
        <f>E163</f>
        <v>11388</v>
      </c>
      <c r="F168" s="498">
        <f>F163+Tableau3[[#This Row],[Janvier]]</f>
        <v>15711</v>
      </c>
      <c r="G168" s="498">
        <f>G163+Tableau3[[#This Row],[Février]]</f>
        <v>16876</v>
      </c>
      <c r="H168" s="498">
        <f>H163+Tableau3[[#This Row],[Mars]]</f>
        <v>16876</v>
      </c>
      <c r="I168" s="498">
        <f>I163+Tableau3[[#This Row],[Avril]]</f>
        <v>16876</v>
      </c>
      <c r="J168" s="498">
        <f>J163+Tableau3[[#This Row],[Mai]]</f>
        <v>16876</v>
      </c>
      <c r="K168" s="498">
        <f>K163+Tableau3[[#This Row],[Juin]]</f>
        <v>16876</v>
      </c>
      <c r="L168" s="498">
        <f>L163+Tableau3[[#This Row],[Juillet]]</f>
        <v>16876</v>
      </c>
      <c r="M168" s="498">
        <f>M163+Tableau3[[#This Row],[Août]]</f>
        <v>16876</v>
      </c>
      <c r="N168" s="498">
        <f>N163+Tableau3[[#This Row],[Septembre]]</f>
        <v>16876</v>
      </c>
      <c r="O168" s="498">
        <f>O163+Tableau3[[#This Row],[Octobre]]</f>
        <v>16876</v>
      </c>
      <c r="P168" s="498">
        <f>P163+Tableau3[[#This Row],[Novembre]]</f>
        <v>16876</v>
      </c>
      <c r="Q168" s="643"/>
    </row>
    <row r="169" spans="1:17">
      <c r="A169" s="88" t="s">
        <v>91</v>
      </c>
      <c r="B169" s="721" t="s">
        <v>1913</v>
      </c>
      <c r="C169" s="503" t="s">
        <v>2047</v>
      </c>
      <c r="D169" s="501" t="s">
        <v>95</v>
      </c>
      <c r="E169" s="500">
        <f>E164</f>
        <v>27552</v>
      </c>
      <c r="F169" s="500">
        <f>F164+Tableau3[[#This Row],[Janvier]]</f>
        <v>49670</v>
      </c>
      <c r="G169" s="500">
        <f>G164+Tableau3[[#This Row],[Février]]</f>
        <v>79013</v>
      </c>
      <c r="H169" s="500">
        <f>H164+Tableau3[[#This Row],[Mars]]</f>
        <v>79013</v>
      </c>
      <c r="I169" s="500">
        <f>I164+Tableau3[[#This Row],[Avril]]</f>
        <v>79013</v>
      </c>
      <c r="J169" s="500">
        <f>J164+Tableau3[[#This Row],[Mai]]</f>
        <v>79013</v>
      </c>
      <c r="K169" s="500">
        <f>K164+Tableau3[[#This Row],[Juin]]</f>
        <v>79013</v>
      </c>
      <c r="L169" s="500">
        <f>L164+Tableau3[[#This Row],[Juillet]]</f>
        <v>79013</v>
      </c>
      <c r="M169" s="500">
        <f>M164+Tableau3[[#This Row],[Août]]</f>
        <v>79013</v>
      </c>
      <c r="N169" s="500">
        <f>N164+Tableau3[[#This Row],[Septembre]]</f>
        <v>79013</v>
      </c>
      <c r="O169" s="500">
        <f>O164+Tableau3[[#This Row],[Octobre]]</f>
        <v>79013</v>
      </c>
      <c r="P169" s="500">
        <f>P164+Tableau3[[#This Row],[Novembre]]</f>
        <v>79013</v>
      </c>
      <c r="Q169" s="644"/>
    </row>
    <row r="170" spans="1:17">
      <c r="A170" s="88" t="s">
        <v>91</v>
      </c>
      <c r="B170" s="721" t="s">
        <v>1913</v>
      </c>
      <c r="C170" s="48"/>
      <c r="D170" s="515" t="s">
        <v>2026</v>
      </c>
      <c r="E170" s="523">
        <f>E165</f>
        <v>31250</v>
      </c>
      <c r="F170" s="523">
        <f>F165+Tableau3[[#This Row],[Janvier]]</f>
        <v>67150</v>
      </c>
      <c r="G170" s="523">
        <f>G165+Tableau3[[#This Row],[Février]]</f>
        <v>98275</v>
      </c>
      <c r="H170" s="523">
        <f>H165+Tableau3[[#This Row],[Mars]]</f>
        <v>118975</v>
      </c>
      <c r="I170" s="523">
        <f>I165+Tableau3[[#This Row],[Avril]]</f>
        <v>127775</v>
      </c>
      <c r="J170" s="523">
        <f>J165+Tableau3[[#This Row],[Mai]]</f>
        <v>127775</v>
      </c>
      <c r="K170" s="523">
        <f>K165+Tableau3[[#This Row],[Juin]]</f>
        <v>129375</v>
      </c>
      <c r="L170" s="523">
        <f>L165+Tableau3[[#This Row],[Juillet]]</f>
        <v>134175</v>
      </c>
      <c r="M170" s="523">
        <f>M165+Tableau3[[#This Row],[Août]]</f>
        <v>140175</v>
      </c>
      <c r="N170" s="523">
        <f>N165+Tableau3[[#This Row],[Septembre]]</f>
        <v>146175</v>
      </c>
      <c r="O170" s="523">
        <f>O165+Tableau3[[#This Row],[Octobre]]</f>
        <v>150975</v>
      </c>
      <c r="P170" s="523">
        <f>P165+Tableau3[[#This Row],[Novembre]]</f>
        <v>153375</v>
      </c>
      <c r="Q170" s="645"/>
    </row>
    <row r="171" spans="1:17">
      <c r="A171" s="88" t="s">
        <v>91</v>
      </c>
      <c r="B171" s="721" t="s">
        <v>1913</v>
      </c>
      <c r="C171" s="49"/>
      <c r="D171" s="504" t="s">
        <v>2030</v>
      </c>
      <c r="E171" s="505">
        <f>E166</f>
        <v>31250</v>
      </c>
      <c r="F171" s="505">
        <f>F166+Tableau3[[#This Row],[Janvier]]</f>
        <v>32150</v>
      </c>
      <c r="G171" s="505">
        <f>G166+Tableau3[[#This Row],[Février]]</f>
        <v>64475</v>
      </c>
      <c r="H171" s="505">
        <f>H166+Tableau3[[#This Row],[Mars]]</f>
        <v>85175</v>
      </c>
      <c r="I171" s="505">
        <f>I166+Tableau3[[#This Row],[Avril]]</f>
        <v>94575</v>
      </c>
      <c r="J171" s="505">
        <f>J166+Tableau3[[#This Row],[Mai]]</f>
        <v>103375</v>
      </c>
      <c r="K171" s="505">
        <f>K166+Tableau3[[#This Row],[Juin]]</f>
        <v>104975</v>
      </c>
      <c r="L171" s="505">
        <f>L166+Tableau3[[#This Row],[Juillet]]</f>
        <v>109775</v>
      </c>
      <c r="M171" s="505">
        <f>M166+Tableau3[[#This Row],[Août]]</f>
        <v>120975</v>
      </c>
      <c r="N171" s="505">
        <f>N166+Tableau3[[#This Row],[Septembre]]</f>
        <v>135775</v>
      </c>
      <c r="O171" s="505">
        <f>O166+Tableau3[[#This Row],[Octobre]]</f>
        <v>148575</v>
      </c>
      <c r="P171" s="505">
        <f>P166+Tableau3[[#This Row],[Novembre]]</f>
        <v>158175</v>
      </c>
      <c r="Q171" s="646"/>
    </row>
    <row r="172" spans="1:17" ht="15.75" thickBot="1">
      <c r="A172" s="88" t="s">
        <v>91</v>
      </c>
      <c r="B172" s="721" t="s">
        <v>1913</v>
      </c>
      <c r="C172" s="549"/>
      <c r="D172" s="555" t="s">
        <v>78</v>
      </c>
      <c r="E172" s="551"/>
      <c r="F172" s="551"/>
      <c r="G172" s="551"/>
      <c r="H172" s="551"/>
      <c r="I172" s="551"/>
      <c r="J172" s="551"/>
      <c r="K172" s="551"/>
      <c r="L172" s="551"/>
      <c r="M172" s="551"/>
      <c r="N172" s="551"/>
      <c r="O172" s="551"/>
      <c r="P172" s="551"/>
      <c r="Q172" s="553"/>
    </row>
    <row r="173" spans="1:17" s="513" customFormat="1">
      <c r="A173" s="560" t="s">
        <v>91</v>
      </c>
      <c r="B173" s="530" t="s">
        <v>59</v>
      </c>
      <c r="C173" s="531"/>
      <c r="D173" s="532"/>
      <c r="E173" s="533" t="s">
        <v>29</v>
      </c>
      <c r="F173" s="533" t="s">
        <v>30</v>
      </c>
      <c r="G173" s="533" t="s">
        <v>31</v>
      </c>
      <c r="H173" s="533" t="s">
        <v>32</v>
      </c>
      <c r="I173" s="533" t="s">
        <v>33</v>
      </c>
      <c r="J173" s="533" t="s">
        <v>34</v>
      </c>
      <c r="K173" s="533" t="s">
        <v>35</v>
      </c>
      <c r="L173" s="533" t="s">
        <v>65</v>
      </c>
      <c r="M173" s="533" t="s">
        <v>37</v>
      </c>
      <c r="N173" s="533" t="s">
        <v>38</v>
      </c>
      <c r="O173" s="533" t="s">
        <v>39</v>
      </c>
      <c r="P173" s="534" t="s">
        <v>40</v>
      </c>
      <c r="Q173" s="535" t="s">
        <v>4</v>
      </c>
    </row>
    <row r="174" spans="1:17">
      <c r="A174" s="561" t="s">
        <v>91</v>
      </c>
      <c r="B174" s="50" t="s">
        <v>59</v>
      </c>
      <c r="C174" s="502"/>
      <c r="D174" s="41" t="s">
        <v>66</v>
      </c>
      <c r="E174" s="55">
        <v>32700</v>
      </c>
      <c r="F174" s="55">
        <v>27620</v>
      </c>
      <c r="G174" s="55">
        <v>10855</v>
      </c>
      <c r="H174" s="55"/>
      <c r="I174" s="55"/>
      <c r="J174" s="55"/>
      <c r="K174" s="55"/>
      <c r="L174" s="55"/>
      <c r="M174" s="55"/>
      <c r="N174" s="55"/>
      <c r="O174" s="55"/>
      <c r="P174" s="56"/>
      <c r="Q174" s="537">
        <f>SUM(Tableau3[[#This Row],[Janvier]:[Décembre]])</f>
        <v>71175</v>
      </c>
    </row>
    <row r="175" spans="1:17">
      <c r="A175" s="561" t="s">
        <v>91</v>
      </c>
      <c r="B175" s="50" t="s">
        <v>59</v>
      </c>
      <c r="C175" s="48"/>
      <c r="D175" s="37" t="s">
        <v>67</v>
      </c>
      <c r="E175" s="99">
        <v>0</v>
      </c>
      <c r="F175" s="99">
        <v>1086</v>
      </c>
      <c r="G175" s="99">
        <v>529</v>
      </c>
      <c r="H175" s="99"/>
      <c r="I175" s="99"/>
      <c r="J175" s="99"/>
      <c r="K175" s="99"/>
      <c r="L175" s="99"/>
      <c r="M175" s="99"/>
      <c r="N175" s="99"/>
      <c r="O175" s="99"/>
      <c r="P175" s="99"/>
      <c r="Q175" s="538">
        <f>SUM(Tableau3[[#This Row],[Janvier]:[Décembre]])</f>
        <v>1615</v>
      </c>
    </row>
    <row r="176" spans="1:17">
      <c r="A176" s="561" t="s">
        <v>91</v>
      </c>
      <c r="B176" s="50" t="s">
        <v>59</v>
      </c>
      <c r="C176" s="503" t="s">
        <v>2024</v>
      </c>
      <c r="D176" s="506" t="s">
        <v>2018</v>
      </c>
      <c r="E176" s="499">
        <f>E174+E175</f>
        <v>32700</v>
      </c>
      <c r="F176" s="499">
        <f>F174+F175</f>
        <v>28706</v>
      </c>
      <c r="G176" s="499">
        <f t="shared" ref="G176:P176" si="14">G174+G175</f>
        <v>11384</v>
      </c>
      <c r="H176" s="499">
        <f t="shared" si="14"/>
        <v>0</v>
      </c>
      <c r="I176" s="499">
        <f t="shared" si="14"/>
        <v>0</v>
      </c>
      <c r="J176" s="499">
        <f t="shared" si="14"/>
        <v>0</v>
      </c>
      <c r="K176" s="499">
        <f t="shared" si="14"/>
        <v>0</v>
      </c>
      <c r="L176" s="499">
        <f t="shared" si="14"/>
        <v>0</v>
      </c>
      <c r="M176" s="499">
        <f t="shared" si="14"/>
        <v>0</v>
      </c>
      <c r="N176" s="499">
        <f t="shared" si="14"/>
        <v>0</v>
      </c>
      <c r="O176" s="499">
        <f t="shared" si="14"/>
        <v>0</v>
      </c>
      <c r="P176" s="499">
        <f t="shared" si="14"/>
        <v>0</v>
      </c>
      <c r="Q176" s="539">
        <f>Q174+Q175</f>
        <v>72790</v>
      </c>
    </row>
    <row r="177" spans="1:17">
      <c r="A177" s="561" t="s">
        <v>91</v>
      </c>
      <c r="B177" s="50" t="s">
        <v>59</v>
      </c>
      <c r="C177" s="48"/>
      <c r="D177" s="90" t="s">
        <v>86</v>
      </c>
      <c r="E177" s="91">
        <v>6300</v>
      </c>
      <c r="F177" s="91">
        <v>2400</v>
      </c>
      <c r="G177" s="91">
        <v>3600</v>
      </c>
      <c r="H177" s="91">
        <v>0</v>
      </c>
      <c r="I177" s="91">
        <v>6000</v>
      </c>
      <c r="J177" s="91">
        <v>16500</v>
      </c>
      <c r="K177" s="91">
        <v>8500</v>
      </c>
      <c r="L177" s="91">
        <v>2300</v>
      </c>
      <c r="M177" s="91">
        <v>9200</v>
      </c>
      <c r="N177" s="91">
        <v>32800</v>
      </c>
      <c r="O177" s="91">
        <v>27700</v>
      </c>
      <c r="P177" s="91">
        <v>16500</v>
      </c>
      <c r="Q177" s="540">
        <f>SUM(Tableau3[[#This Row],[Janvier]:[Décembre]])</f>
        <v>131800</v>
      </c>
    </row>
    <row r="178" spans="1:17">
      <c r="A178" s="561" t="s">
        <v>91</v>
      </c>
      <c r="B178" s="50" t="s">
        <v>59</v>
      </c>
      <c r="C178" s="49"/>
      <c r="D178" s="24" t="s">
        <v>1912</v>
      </c>
      <c r="E178" s="495">
        <v>6300</v>
      </c>
      <c r="F178" s="495">
        <v>2400</v>
      </c>
      <c r="G178" s="495">
        <v>3600</v>
      </c>
      <c r="H178" s="495">
        <v>1200</v>
      </c>
      <c r="I178" s="495">
        <v>6000</v>
      </c>
      <c r="J178" s="495">
        <v>10500</v>
      </c>
      <c r="K178" s="495">
        <v>6400</v>
      </c>
      <c r="L178" s="495">
        <v>2300</v>
      </c>
      <c r="M178" s="495">
        <v>3600</v>
      </c>
      <c r="N178" s="495">
        <v>28000</v>
      </c>
      <c r="O178" s="495">
        <v>23700</v>
      </c>
      <c r="P178" s="495">
        <v>12300</v>
      </c>
      <c r="Q178" s="541">
        <f>SUM(Tableau3[[#This Row],[Janvier]:[Décembre]])</f>
        <v>106300</v>
      </c>
    </row>
    <row r="179" spans="1:17">
      <c r="A179" s="561" t="s">
        <v>91</v>
      </c>
      <c r="B179" s="50" t="s">
        <v>59</v>
      </c>
      <c r="C179" s="502"/>
      <c r="D179" s="516" t="s">
        <v>2019</v>
      </c>
      <c r="E179" s="563">
        <f>E174</f>
        <v>32700</v>
      </c>
      <c r="F179" s="563">
        <f>F174+Tableau3[[#This Row],[Janvier]]</f>
        <v>60320</v>
      </c>
      <c r="G179" s="563">
        <f>G174+Tableau3[[#This Row],[Février]]</f>
        <v>71175</v>
      </c>
      <c r="H179" s="563">
        <f>H174+Tableau3[[#This Row],[Mars]]</f>
        <v>71175</v>
      </c>
      <c r="I179" s="563">
        <f>I174+Tableau3[[#This Row],[Avril]]</f>
        <v>71175</v>
      </c>
      <c r="J179" s="563">
        <f>J174+Tableau3[[#This Row],[Mai]]</f>
        <v>71175</v>
      </c>
      <c r="K179" s="563">
        <f>K174+Tableau3[[#This Row],[Juin]]</f>
        <v>71175</v>
      </c>
      <c r="L179" s="563">
        <f>L174+Tableau3[[#This Row],[Juillet]]</f>
        <v>71175</v>
      </c>
      <c r="M179" s="563">
        <f>M174+Tableau3[[#This Row],[Août]]</f>
        <v>71175</v>
      </c>
      <c r="N179" s="563">
        <f>N174+Tableau3[[#This Row],[Septembre]]</f>
        <v>71175</v>
      </c>
      <c r="O179" s="563">
        <f>O174+Tableau3[[#This Row],[Octobre]]</f>
        <v>71175</v>
      </c>
      <c r="P179" s="563">
        <f>P174+Tableau3[[#This Row],[Novembre]]</f>
        <v>71175</v>
      </c>
      <c r="Q179" s="642"/>
    </row>
    <row r="180" spans="1:17">
      <c r="A180" s="561" t="s">
        <v>91</v>
      </c>
      <c r="B180" s="50" t="s">
        <v>59</v>
      </c>
      <c r="C180" s="48"/>
      <c r="D180" s="497" t="s">
        <v>2017</v>
      </c>
      <c r="E180" s="498">
        <f>E175</f>
        <v>0</v>
      </c>
      <c r="F180" s="498">
        <f>F175+Tableau3[[#This Row],[Janvier]]</f>
        <v>1086</v>
      </c>
      <c r="G180" s="498">
        <f>G175+Tableau3[[#This Row],[Février]]</f>
        <v>1615</v>
      </c>
      <c r="H180" s="498">
        <f>H175+Tableau3[[#This Row],[Mars]]</f>
        <v>1615</v>
      </c>
      <c r="I180" s="498">
        <f>I175+Tableau3[[#This Row],[Avril]]</f>
        <v>1615</v>
      </c>
      <c r="J180" s="498">
        <f>J175+Tableau3[[#This Row],[Mai]]</f>
        <v>1615</v>
      </c>
      <c r="K180" s="498">
        <f>K175+Tableau3[[#This Row],[Juin]]</f>
        <v>1615</v>
      </c>
      <c r="L180" s="498">
        <f>L175+Tableau3[[#This Row],[Juillet]]</f>
        <v>1615</v>
      </c>
      <c r="M180" s="498">
        <f>M175+Tableau3[[#This Row],[Août]]</f>
        <v>1615</v>
      </c>
      <c r="N180" s="498">
        <f>N175+Tableau3[[#This Row],[Septembre]]</f>
        <v>1615</v>
      </c>
      <c r="O180" s="498">
        <f>O175+Tableau3[[#This Row],[Octobre]]</f>
        <v>1615</v>
      </c>
      <c r="P180" s="498">
        <f>P175+Tableau3[[#This Row],[Novembre]]</f>
        <v>1615</v>
      </c>
      <c r="Q180" s="643"/>
    </row>
    <row r="181" spans="1:17">
      <c r="A181" s="561" t="s">
        <v>91</v>
      </c>
      <c r="B181" s="50" t="s">
        <v>59</v>
      </c>
      <c r="C181" s="503" t="s">
        <v>2047</v>
      </c>
      <c r="D181" s="501" t="s">
        <v>95</v>
      </c>
      <c r="E181" s="500">
        <f>E176</f>
        <v>32700</v>
      </c>
      <c r="F181" s="500">
        <f>F176+Tableau3[[#This Row],[Janvier]]</f>
        <v>61406</v>
      </c>
      <c r="G181" s="500">
        <f>G176+Tableau3[[#This Row],[Février]]</f>
        <v>72790</v>
      </c>
      <c r="H181" s="500">
        <f>H176+Tableau3[[#This Row],[Mars]]</f>
        <v>72790</v>
      </c>
      <c r="I181" s="500">
        <f>I176+Tableau3[[#This Row],[Avril]]</f>
        <v>72790</v>
      </c>
      <c r="J181" s="500">
        <f>J176+Tableau3[[#This Row],[Mai]]</f>
        <v>72790</v>
      </c>
      <c r="K181" s="500">
        <f>K176+Tableau3[[#This Row],[Juin]]</f>
        <v>72790</v>
      </c>
      <c r="L181" s="500">
        <f>L176+Tableau3[[#This Row],[Juillet]]</f>
        <v>72790</v>
      </c>
      <c r="M181" s="500">
        <f>M176+Tableau3[[#This Row],[Août]]</f>
        <v>72790</v>
      </c>
      <c r="N181" s="500">
        <f>N176+Tableau3[[#This Row],[Septembre]]</f>
        <v>72790</v>
      </c>
      <c r="O181" s="500">
        <f>O176+Tableau3[[#This Row],[Octobre]]</f>
        <v>72790</v>
      </c>
      <c r="P181" s="500">
        <f>P176+Tableau3[[#This Row],[Novembre]]</f>
        <v>72790</v>
      </c>
      <c r="Q181" s="644"/>
    </row>
    <row r="182" spans="1:17">
      <c r="A182" s="561" t="s">
        <v>91</v>
      </c>
      <c r="B182" s="50" t="s">
        <v>59</v>
      </c>
      <c r="C182" s="48"/>
      <c r="D182" s="515" t="s">
        <v>2026</v>
      </c>
      <c r="E182" s="523">
        <f>E177</f>
        <v>6300</v>
      </c>
      <c r="F182" s="523">
        <f>F177+Tableau3[[#This Row],[Janvier]]</f>
        <v>8700</v>
      </c>
      <c r="G182" s="523">
        <f>G177+Tableau3[[#This Row],[Février]]</f>
        <v>12300</v>
      </c>
      <c r="H182" s="523">
        <f>H177+Tableau3[[#This Row],[Mars]]</f>
        <v>12300</v>
      </c>
      <c r="I182" s="523">
        <f>I177+Tableau3[[#This Row],[Avril]]</f>
        <v>18300</v>
      </c>
      <c r="J182" s="523">
        <f>J177+Tableau3[[#This Row],[Mai]]</f>
        <v>34800</v>
      </c>
      <c r="K182" s="523">
        <f>K177+Tableau3[[#This Row],[Juin]]</f>
        <v>43300</v>
      </c>
      <c r="L182" s="523">
        <f>L177+Tableau3[[#This Row],[Juillet]]</f>
        <v>45600</v>
      </c>
      <c r="M182" s="523">
        <f>M177+Tableau3[[#This Row],[Août]]</f>
        <v>54800</v>
      </c>
      <c r="N182" s="523">
        <f>N177+Tableau3[[#This Row],[Septembre]]</f>
        <v>87600</v>
      </c>
      <c r="O182" s="523">
        <f>O177+Tableau3[[#This Row],[Octobre]]</f>
        <v>115300</v>
      </c>
      <c r="P182" s="523">
        <f>P177+Tableau3[[#This Row],[Novembre]]</f>
        <v>131800</v>
      </c>
      <c r="Q182" s="645"/>
    </row>
    <row r="183" spans="1:17">
      <c r="A183" s="561" t="s">
        <v>91</v>
      </c>
      <c r="B183" s="50" t="s">
        <v>59</v>
      </c>
      <c r="C183" s="49"/>
      <c r="D183" s="504" t="s">
        <v>2030</v>
      </c>
      <c r="E183" s="505">
        <f>E178</f>
        <v>6300</v>
      </c>
      <c r="F183" s="505">
        <f>F178+Tableau3[[#This Row],[Janvier]]</f>
        <v>8700</v>
      </c>
      <c r="G183" s="505">
        <f>G178+Tableau3[[#This Row],[Février]]</f>
        <v>12300</v>
      </c>
      <c r="H183" s="505">
        <f>H178+Tableau3[[#This Row],[Mars]]</f>
        <v>13500</v>
      </c>
      <c r="I183" s="505">
        <f>I178+Tableau3[[#This Row],[Avril]]</f>
        <v>19500</v>
      </c>
      <c r="J183" s="505">
        <f>J178+Tableau3[[#This Row],[Mai]]</f>
        <v>30000</v>
      </c>
      <c r="K183" s="505">
        <f>K178+Tableau3[[#This Row],[Juin]]</f>
        <v>36400</v>
      </c>
      <c r="L183" s="505">
        <f>L178+Tableau3[[#This Row],[Juillet]]</f>
        <v>38700</v>
      </c>
      <c r="M183" s="505">
        <f>M178+Tableau3[[#This Row],[Août]]</f>
        <v>42300</v>
      </c>
      <c r="N183" s="505">
        <f>N178+Tableau3[[#This Row],[Septembre]]</f>
        <v>70300</v>
      </c>
      <c r="O183" s="505">
        <f>O178+Tableau3[[#This Row],[Octobre]]</f>
        <v>94000</v>
      </c>
      <c r="P183" s="505">
        <f>P178+Tableau3[[#This Row],[Novembre]]</f>
        <v>106300</v>
      </c>
      <c r="Q183" s="646"/>
    </row>
    <row r="184" spans="1:17" ht="15.75" thickBot="1">
      <c r="A184" s="561" t="s">
        <v>91</v>
      </c>
      <c r="B184" s="519" t="s">
        <v>59</v>
      </c>
      <c r="C184" s="554"/>
      <c r="D184" s="520" t="s">
        <v>78</v>
      </c>
      <c r="E184" s="521"/>
      <c r="F184" s="521"/>
      <c r="G184" s="521"/>
      <c r="H184" s="521"/>
      <c r="I184" s="521"/>
      <c r="J184" s="521"/>
      <c r="K184" s="521"/>
      <c r="L184" s="521"/>
      <c r="M184" s="521"/>
      <c r="N184" s="521"/>
      <c r="O184" s="521"/>
      <c r="P184" s="521"/>
      <c r="Q184" s="548"/>
    </row>
    <row r="185" spans="1:17" s="513" customFormat="1">
      <c r="A185" s="560" t="s">
        <v>91</v>
      </c>
      <c r="B185" s="530" t="s">
        <v>71</v>
      </c>
      <c r="C185" s="531"/>
      <c r="D185" s="532"/>
      <c r="E185" s="533" t="s">
        <v>29</v>
      </c>
      <c r="F185" s="533" t="s">
        <v>30</v>
      </c>
      <c r="G185" s="533" t="s">
        <v>31</v>
      </c>
      <c r="H185" s="533" t="s">
        <v>32</v>
      </c>
      <c r="I185" s="533" t="s">
        <v>33</v>
      </c>
      <c r="J185" s="533" t="s">
        <v>34</v>
      </c>
      <c r="K185" s="533" t="s">
        <v>35</v>
      </c>
      <c r="L185" s="533" t="s">
        <v>65</v>
      </c>
      <c r="M185" s="533" t="s">
        <v>37</v>
      </c>
      <c r="N185" s="533" t="s">
        <v>38</v>
      </c>
      <c r="O185" s="533" t="s">
        <v>39</v>
      </c>
      <c r="P185" s="534" t="s">
        <v>40</v>
      </c>
      <c r="Q185" s="535" t="s">
        <v>4</v>
      </c>
    </row>
    <row r="186" spans="1:17">
      <c r="A186" s="561" t="s">
        <v>91</v>
      </c>
      <c r="B186" s="50" t="s">
        <v>71</v>
      </c>
      <c r="C186" s="502"/>
      <c r="D186" s="41" t="s">
        <v>66</v>
      </c>
      <c r="E186" s="55">
        <v>11642</v>
      </c>
      <c r="F186" s="55">
        <v>11746</v>
      </c>
      <c r="G186" s="55">
        <v>8758</v>
      </c>
      <c r="H186" s="55"/>
      <c r="I186" s="55"/>
      <c r="J186" s="55"/>
      <c r="K186" s="55"/>
      <c r="L186" s="55"/>
      <c r="M186" s="55"/>
      <c r="N186" s="55"/>
      <c r="O186" s="55"/>
      <c r="P186" s="56"/>
      <c r="Q186" s="537">
        <f>SUM(Tableau3[[#This Row],[Janvier]:[Décembre]])</f>
        <v>32146</v>
      </c>
    </row>
    <row r="187" spans="1:17">
      <c r="A187" s="561" t="s">
        <v>91</v>
      </c>
      <c r="B187" s="50" t="s">
        <v>71</v>
      </c>
      <c r="C187" s="48"/>
      <c r="D187" s="37" t="s">
        <v>67</v>
      </c>
      <c r="E187" s="99">
        <v>0</v>
      </c>
      <c r="F187" s="99">
        <v>3576</v>
      </c>
      <c r="G187" s="99">
        <v>1641</v>
      </c>
      <c r="H187" s="99"/>
      <c r="I187" s="99"/>
      <c r="J187" s="99"/>
      <c r="K187" s="99"/>
      <c r="L187" s="99"/>
      <c r="M187" s="99"/>
      <c r="N187" s="99"/>
      <c r="O187" s="99"/>
      <c r="P187" s="99"/>
      <c r="Q187" s="538">
        <f>SUM(Tableau3[[#This Row],[Janvier]:[Décembre]])</f>
        <v>5217</v>
      </c>
    </row>
    <row r="188" spans="1:17">
      <c r="A188" s="561" t="s">
        <v>91</v>
      </c>
      <c r="B188" s="50" t="s">
        <v>71</v>
      </c>
      <c r="C188" s="503" t="s">
        <v>2024</v>
      </c>
      <c r="D188" s="506" t="s">
        <v>2018</v>
      </c>
      <c r="E188" s="499">
        <f>E186+E187</f>
        <v>11642</v>
      </c>
      <c r="F188" s="499">
        <f>F186+F187</f>
        <v>15322</v>
      </c>
      <c r="G188" s="499">
        <f t="shared" ref="G188:P188" si="15">G186+G187</f>
        <v>10399</v>
      </c>
      <c r="H188" s="499">
        <f t="shared" si="15"/>
        <v>0</v>
      </c>
      <c r="I188" s="499">
        <f t="shared" si="15"/>
        <v>0</v>
      </c>
      <c r="J188" s="499">
        <f t="shared" si="15"/>
        <v>0</v>
      </c>
      <c r="K188" s="499">
        <f t="shared" si="15"/>
        <v>0</v>
      </c>
      <c r="L188" s="499">
        <f t="shared" si="15"/>
        <v>0</v>
      </c>
      <c r="M188" s="499">
        <f t="shared" si="15"/>
        <v>0</v>
      </c>
      <c r="N188" s="499">
        <f t="shared" si="15"/>
        <v>0</v>
      </c>
      <c r="O188" s="499">
        <f t="shared" si="15"/>
        <v>0</v>
      </c>
      <c r="P188" s="499">
        <f t="shared" si="15"/>
        <v>0</v>
      </c>
      <c r="Q188" s="539">
        <f>Q186+Q187</f>
        <v>37363</v>
      </c>
    </row>
    <row r="189" spans="1:17">
      <c r="A189" s="561" t="s">
        <v>91</v>
      </c>
      <c r="B189" s="50" t="s">
        <v>71</v>
      </c>
      <c r="C189" s="48"/>
      <c r="D189" s="90" t="s">
        <v>86</v>
      </c>
      <c r="E189" s="91">
        <v>18800</v>
      </c>
      <c r="F189" s="91">
        <v>17600</v>
      </c>
      <c r="G189" s="91">
        <v>22200</v>
      </c>
      <c r="H189" s="91">
        <v>33800</v>
      </c>
      <c r="I189" s="91">
        <v>20970</v>
      </c>
      <c r="J189" s="91">
        <v>27914</v>
      </c>
      <c r="K189" s="91">
        <v>44648</v>
      </c>
      <c r="L189" s="91">
        <v>23500</v>
      </c>
      <c r="M189" s="91">
        <v>20500</v>
      </c>
      <c r="N189" s="91">
        <v>23039</v>
      </c>
      <c r="O189" s="91">
        <v>4300</v>
      </c>
      <c r="P189" s="91">
        <v>0</v>
      </c>
      <c r="Q189" s="540">
        <f>SUM(Tableau3[[#This Row],[Janvier]:[Décembre]])</f>
        <v>257271</v>
      </c>
    </row>
    <row r="190" spans="1:17">
      <c r="A190" s="561" t="s">
        <v>91</v>
      </c>
      <c r="B190" s="50" t="s">
        <v>71</v>
      </c>
      <c r="C190" s="49"/>
      <c r="D190" s="24" t="s">
        <v>1912</v>
      </c>
      <c r="E190" s="495">
        <v>18800</v>
      </c>
      <c r="F190" s="495">
        <v>7600</v>
      </c>
      <c r="G190" s="495">
        <v>21700</v>
      </c>
      <c r="H190" s="495">
        <v>26100</v>
      </c>
      <c r="I190" s="495">
        <v>20970</v>
      </c>
      <c r="J190" s="495">
        <v>32360</v>
      </c>
      <c r="K190" s="495">
        <v>45198</v>
      </c>
      <c r="L190" s="495">
        <v>21000</v>
      </c>
      <c r="M190" s="495">
        <v>26600</v>
      </c>
      <c r="N190" s="495">
        <v>20939</v>
      </c>
      <c r="O190" s="495">
        <v>4300</v>
      </c>
      <c r="P190" s="495">
        <v>0</v>
      </c>
      <c r="Q190" s="541">
        <f>SUM(Tableau3[[#This Row],[Janvier]:[Décembre]])</f>
        <v>245567</v>
      </c>
    </row>
    <row r="191" spans="1:17">
      <c r="A191" s="561" t="s">
        <v>91</v>
      </c>
      <c r="B191" s="50" t="s">
        <v>71</v>
      </c>
      <c r="C191" s="502"/>
      <c r="D191" s="516" t="s">
        <v>2019</v>
      </c>
      <c r="E191" s="563">
        <f>E186</f>
        <v>11642</v>
      </c>
      <c r="F191" s="563">
        <f>F186+Tableau3[[#This Row],[Janvier]]</f>
        <v>23388</v>
      </c>
      <c r="G191" s="563">
        <f>G186+Tableau3[[#This Row],[Février]]</f>
        <v>32146</v>
      </c>
      <c r="H191" s="563">
        <f>H186+Tableau3[[#This Row],[Mars]]</f>
        <v>32146</v>
      </c>
      <c r="I191" s="563">
        <f>I186+Tableau3[[#This Row],[Avril]]</f>
        <v>32146</v>
      </c>
      <c r="J191" s="563">
        <f>J186+Tableau3[[#This Row],[Mai]]</f>
        <v>32146</v>
      </c>
      <c r="K191" s="563">
        <f>K186+Tableau3[[#This Row],[Juin]]</f>
        <v>32146</v>
      </c>
      <c r="L191" s="563">
        <f>L186+Tableau3[[#This Row],[Juillet]]</f>
        <v>32146</v>
      </c>
      <c r="M191" s="563">
        <f>M186+Tableau3[[#This Row],[Août]]</f>
        <v>32146</v>
      </c>
      <c r="N191" s="563">
        <f>N186+Tableau3[[#This Row],[Septembre]]</f>
        <v>32146</v>
      </c>
      <c r="O191" s="563">
        <f>O186+Tableau3[[#This Row],[Octobre]]</f>
        <v>32146</v>
      </c>
      <c r="P191" s="563">
        <f>P186+Tableau3[[#This Row],[Novembre]]</f>
        <v>32146</v>
      </c>
      <c r="Q191" s="642"/>
    </row>
    <row r="192" spans="1:17">
      <c r="A192" s="561" t="s">
        <v>91</v>
      </c>
      <c r="B192" s="50" t="s">
        <v>71</v>
      </c>
      <c r="C192" s="48"/>
      <c r="D192" s="497" t="s">
        <v>2017</v>
      </c>
      <c r="E192" s="498">
        <f>E187</f>
        <v>0</v>
      </c>
      <c r="F192" s="498">
        <f>F187+Tableau3[[#This Row],[Janvier]]</f>
        <v>3576</v>
      </c>
      <c r="G192" s="498">
        <f>G187+Tableau3[[#This Row],[Février]]</f>
        <v>5217</v>
      </c>
      <c r="H192" s="498">
        <f>H187+Tableau3[[#This Row],[Mars]]</f>
        <v>5217</v>
      </c>
      <c r="I192" s="498">
        <f>I187+Tableau3[[#This Row],[Avril]]</f>
        <v>5217</v>
      </c>
      <c r="J192" s="498">
        <f>J187+Tableau3[[#This Row],[Mai]]</f>
        <v>5217</v>
      </c>
      <c r="K192" s="498">
        <f>K187+Tableau3[[#This Row],[Juin]]</f>
        <v>5217</v>
      </c>
      <c r="L192" s="498">
        <f>L187+Tableau3[[#This Row],[Juillet]]</f>
        <v>5217</v>
      </c>
      <c r="M192" s="498">
        <f>M187+Tableau3[[#This Row],[Août]]</f>
        <v>5217</v>
      </c>
      <c r="N192" s="498">
        <f>N187+Tableau3[[#This Row],[Septembre]]</f>
        <v>5217</v>
      </c>
      <c r="O192" s="498">
        <f>O187+Tableau3[[#This Row],[Octobre]]</f>
        <v>5217</v>
      </c>
      <c r="P192" s="498">
        <f>P187+Tableau3[[#This Row],[Novembre]]</f>
        <v>5217</v>
      </c>
      <c r="Q192" s="643"/>
    </row>
    <row r="193" spans="1:17">
      <c r="A193" s="561" t="s">
        <v>91</v>
      </c>
      <c r="B193" s="50" t="s">
        <v>71</v>
      </c>
      <c r="C193" s="503" t="s">
        <v>2047</v>
      </c>
      <c r="D193" s="501" t="s">
        <v>95</v>
      </c>
      <c r="E193" s="500">
        <f>E188</f>
        <v>11642</v>
      </c>
      <c r="F193" s="500">
        <f>F188+Tableau3[[#This Row],[Janvier]]</f>
        <v>26964</v>
      </c>
      <c r="G193" s="500">
        <f>G188+Tableau3[[#This Row],[Février]]</f>
        <v>37363</v>
      </c>
      <c r="H193" s="500">
        <f>H188+Tableau3[[#This Row],[Mars]]</f>
        <v>37363</v>
      </c>
      <c r="I193" s="500">
        <f>I188+Tableau3[[#This Row],[Avril]]</f>
        <v>37363</v>
      </c>
      <c r="J193" s="500">
        <f>J188+Tableau3[[#This Row],[Mai]]</f>
        <v>37363</v>
      </c>
      <c r="K193" s="500">
        <f>K188+Tableau3[[#This Row],[Juin]]</f>
        <v>37363</v>
      </c>
      <c r="L193" s="500">
        <f>L188+Tableau3[[#This Row],[Juillet]]</f>
        <v>37363</v>
      </c>
      <c r="M193" s="500">
        <f>M188+Tableau3[[#This Row],[Août]]</f>
        <v>37363</v>
      </c>
      <c r="N193" s="500">
        <f>N188+Tableau3[[#This Row],[Septembre]]</f>
        <v>37363</v>
      </c>
      <c r="O193" s="500">
        <f>O188+Tableau3[[#This Row],[Octobre]]</f>
        <v>37363</v>
      </c>
      <c r="P193" s="500">
        <f>P188+Tableau3[[#This Row],[Novembre]]</f>
        <v>37363</v>
      </c>
      <c r="Q193" s="644"/>
    </row>
    <row r="194" spans="1:17">
      <c r="A194" s="561" t="s">
        <v>91</v>
      </c>
      <c r="B194" s="50" t="s">
        <v>71</v>
      </c>
      <c r="C194" s="48"/>
      <c r="D194" s="515" t="s">
        <v>2026</v>
      </c>
      <c r="E194" s="523">
        <f>E189</f>
        <v>18800</v>
      </c>
      <c r="F194" s="523">
        <f>F189+Tableau3[[#This Row],[Janvier]]</f>
        <v>36400</v>
      </c>
      <c r="G194" s="523">
        <f>G189+Tableau3[[#This Row],[Février]]</f>
        <v>58600</v>
      </c>
      <c r="H194" s="523">
        <f>H189+Tableau3[[#This Row],[Mars]]</f>
        <v>92400</v>
      </c>
      <c r="I194" s="523">
        <f>I189+Tableau3[[#This Row],[Avril]]</f>
        <v>113370</v>
      </c>
      <c r="J194" s="523">
        <f>J189+Tableau3[[#This Row],[Mai]]</f>
        <v>141284</v>
      </c>
      <c r="K194" s="523">
        <f>K189+Tableau3[[#This Row],[Juin]]</f>
        <v>185932</v>
      </c>
      <c r="L194" s="523">
        <f>L189+Tableau3[[#This Row],[Juillet]]</f>
        <v>209432</v>
      </c>
      <c r="M194" s="523">
        <f>M189+Tableau3[[#This Row],[Août]]</f>
        <v>229932</v>
      </c>
      <c r="N194" s="523">
        <f>N189+Tableau3[[#This Row],[Septembre]]</f>
        <v>252971</v>
      </c>
      <c r="O194" s="523">
        <f>O189+Tableau3[[#This Row],[Octobre]]</f>
        <v>257271</v>
      </c>
      <c r="P194" s="523">
        <f>P189+Tableau3[[#This Row],[Novembre]]</f>
        <v>257271</v>
      </c>
      <c r="Q194" s="645"/>
    </row>
    <row r="195" spans="1:17">
      <c r="A195" s="561" t="s">
        <v>91</v>
      </c>
      <c r="B195" s="50" t="s">
        <v>71</v>
      </c>
      <c r="C195" s="49"/>
      <c r="D195" s="504" t="s">
        <v>2030</v>
      </c>
      <c r="E195" s="505">
        <f>E190</f>
        <v>18800</v>
      </c>
      <c r="F195" s="505">
        <f>F190+Tableau3[[#This Row],[Janvier]]</f>
        <v>26400</v>
      </c>
      <c r="G195" s="505">
        <f>G190+Tableau3[[#This Row],[Février]]</f>
        <v>48100</v>
      </c>
      <c r="H195" s="505">
        <f>H190+Tableau3[[#This Row],[Mars]]</f>
        <v>74200</v>
      </c>
      <c r="I195" s="505">
        <f>I190+Tableau3[[#This Row],[Avril]]</f>
        <v>95170</v>
      </c>
      <c r="J195" s="505">
        <f>J190+Tableau3[[#This Row],[Mai]]</f>
        <v>127530</v>
      </c>
      <c r="K195" s="505">
        <f>K190+Tableau3[[#This Row],[Juin]]</f>
        <v>172728</v>
      </c>
      <c r="L195" s="505">
        <f>L190+Tableau3[[#This Row],[Juillet]]</f>
        <v>193728</v>
      </c>
      <c r="M195" s="505">
        <f>M190+Tableau3[[#This Row],[Août]]</f>
        <v>220328</v>
      </c>
      <c r="N195" s="505">
        <f>N190+Tableau3[[#This Row],[Septembre]]</f>
        <v>241267</v>
      </c>
      <c r="O195" s="505">
        <f>O190+Tableau3[[#This Row],[Octobre]]</f>
        <v>245567</v>
      </c>
      <c r="P195" s="505">
        <f>P190+Tableau3[[#This Row],[Novembre]]</f>
        <v>245567</v>
      </c>
      <c r="Q195" s="646"/>
    </row>
    <row r="196" spans="1:17" ht="15.75" thickBot="1">
      <c r="A196" s="562" t="s">
        <v>91</v>
      </c>
      <c r="B196" s="518" t="s">
        <v>71</v>
      </c>
      <c r="C196" s="554"/>
      <c r="D196" s="520" t="s">
        <v>78</v>
      </c>
      <c r="E196" s="521"/>
      <c r="F196" s="521"/>
      <c r="G196" s="521"/>
      <c r="H196" s="521"/>
      <c r="I196" s="521"/>
      <c r="J196" s="521"/>
      <c r="K196" s="521"/>
      <c r="L196" s="521"/>
      <c r="M196" s="521"/>
      <c r="N196" s="521"/>
      <c r="O196" s="521"/>
      <c r="P196" s="521"/>
      <c r="Q196" s="548"/>
    </row>
    <row r="197" spans="1:1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</sheetData>
  <autoFilter ref="A3:A196"/>
  <sortState ref="B6:B73">
    <sortCondition ref="B5"/>
  </sortState>
  <pageMargins left="0.7" right="0.7" top="0.75" bottom="0.75" header="0.3" footer="0.3"/>
  <pageSetup paperSize="9" orientation="portrait" r:id="rId1"/>
  <ignoredErrors>
    <ignoredError sqref="E37:P37 E25:P25 E61:P61 E13:P13 E73:P73 E85:P85" formula="1"/>
  </ignoredError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00B050"/>
  </sheetPr>
  <dimension ref="A1:O15"/>
  <sheetViews>
    <sheetView showZeros="0" zoomScaleNormal="100" workbookViewId="0">
      <selection activeCell="D4" sqref="D4"/>
    </sheetView>
  </sheetViews>
  <sheetFormatPr baseColWidth="10" defaultRowHeight="15"/>
  <cols>
    <col min="1" max="1" width="10" customWidth="1"/>
    <col min="2" max="2" width="22.140625" customWidth="1"/>
    <col min="3" max="15" width="12.7109375" customWidth="1"/>
  </cols>
  <sheetData>
    <row r="1" spans="1:15" ht="15" customHeight="1">
      <c r="A1" s="994" t="s">
        <v>97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995"/>
      <c r="N1" s="995"/>
      <c r="O1" s="995"/>
    </row>
    <row r="2" spans="1:15" ht="27" customHeight="1">
      <c r="A2" s="996"/>
      <c r="B2" s="997"/>
      <c r="C2" s="998"/>
      <c r="D2" s="998"/>
      <c r="E2" s="998"/>
      <c r="F2" s="998"/>
      <c r="G2" s="998"/>
      <c r="H2" s="998"/>
      <c r="I2" s="998"/>
      <c r="J2" s="998"/>
      <c r="K2" s="998"/>
      <c r="L2" s="998"/>
      <c r="M2" s="998"/>
      <c r="N2" s="998"/>
      <c r="O2" s="998"/>
    </row>
    <row r="3" spans="1:15" ht="23.25" customHeight="1">
      <c r="A3" s="568"/>
      <c r="B3" s="569"/>
      <c r="C3" s="570" t="s">
        <v>29</v>
      </c>
      <c r="D3" s="570" t="s">
        <v>30</v>
      </c>
      <c r="E3" s="570" t="s">
        <v>31</v>
      </c>
      <c r="F3" s="570" t="s">
        <v>32</v>
      </c>
      <c r="G3" s="570" t="s">
        <v>33</v>
      </c>
      <c r="H3" s="570" t="s">
        <v>34</v>
      </c>
      <c r="I3" s="570" t="s">
        <v>35</v>
      </c>
      <c r="J3" s="570" t="s">
        <v>65</v>
      </c>
      <c r="K3" s="570" t="s">
        <v>37</v>
      </c>
      <c r="L3" s="570" t="s">
        <v>38</v>
      </c>
      <c r="M3" s="570" t="s">
        <v>39</v>
      </c>
      <c r="N3" s="571" t="s">
        <v>40</v>
      </c>
      <c r="O3" s="572" t="s">
        <v>55</v>
      </c>
    </row>
    <row r="4" spans="1:15">
      <c r="A4" s="999" t="s">
        <v>2020</v>
      </c>
      <c r="B4" s="573" t="s">
        <v>98</v>
      </c>
      <c r="C4" s="574">
        <f>SUMIFS('Vol. Carrières'!$E:$E,'Vol. Carrières'!$D:$D,"Fer")</f>
        <v>149781</v>
      </c>
      <c r="D4" s="574">
        <f>SUMIFS('Vol. Carrières'!$F:$F,'Vol. Carrières'!$D:$D,"Fer")</f>
        <v>179339</v>
      </c>
      <c r="E4" s="574">
        <f>SUMIFS('Vol. Carrières'!$G:$G,'Vol. Carrières'!$D:$D,"Fer")</f>
        <v>150788</v>
      </c>
      <c r="F4" s="574">
        <f>SUMIFS('Vol. Carrières'!$H:$H,'Vol. Carrières'!$D:$D,"Fer")</f>
        <v>0</v>
      </c>
      <c r="G4" s="574">
        <f>SUMIFS('Vol. Carrières'!$I:$I,'Vol. Carrières'!$D:$D,"Fer")</f>
        <v>0</v>
      </c>
      <c r="H4" s="574">
        <f>SUMIFS('Vol. Carrières'!$J:$J,'Vol. Carrières'!$D:$D,"Fer")</f>
        <v>0</v>
      </c>
      <c r="I4" s="574">
        <f>SUMIFS('Vol. Carrières'!$K:$K,'Vol. Carrières'!$D:$D,"Fer")</f>
        <v>0</v>
      </c>
      <c r="J4" s="574">
        <f>SUMIFS('Vol. Carrières'!$L:$L,'Vol. Carrières'!$D:$D,"Fer")</f>
        <v>0</v>
      </c>
      <c r="K4" s="574">
        <f>SUMIFS('Vol. Carrières'!$M:$M,'Vol. Carrières'!$D:$D,"Fer")</f>
        <v>0</v>
      </c>
      <c r="L4" s="574">
        <f>SUMIFS('Vol. Carrières'!$N:$N,'Vol. Carrières'!$D:$D,"Fer")</f>
        <v>0</v>
      </c>
      <c r="M4" s="574">
        <f>SUMIFS('Vol. Carrières'!$O:$O,'Vol. Carrières'!$D:$D,"Fer")</f>
        <v>0</v>
      </c>
      <c r="N4" s="574">
        <f>SUMIFS('Vol. Carrières'!$P:$P,'Vol. Carrières'!$D:$D,"Fer")</f>
        <v>0</v>
      </c>
      <c r="O4" s="574">
        <f>SUM(C4:N4)</f>
        <v>479908</v>
      </c>
    </row>
    <row r="5" spans="1:15">
      <c r="A5" s="999"/>
      <c r="B5" s="575" t="s">
        <v>96</v>
      </c>
      <c r="C5" s="576">
        <f>SUMIFS('Vol. Carrières'!$E:$E,'Vol. Carrières'!$D:$D,'Vol. Carrières'!D7)</f>
        <v>28280</v>
      </c>
      <c r="D5" s="576">
        <f>SUMIFS('Vol. Carrières'!$F:$F,'Vol. Carrières'!$D:$D,'Vol. Carrières'!$D$7)</f>
        <v>46699</v>
      </c>
      <c r="E5" s="576">
        <f>SUMIFS('Vol. Carrières'!$G:$G,'Vol. Carrières'!$D:$D,'Vol. Carrières'!$D$7)</f>
        <v>15602</v>
      </c>
      <c r="F5" s="576">
        <f>SUMIFS('Vol. Carrières'!$H:$H,'Vol. Carrières'!$D:$D,'Vol. Carrières'!$D$7)</f>
        <v>0</v>
      </c>
      <c r="G5" s="576">
        <f>SUMIFS('Vol. Carrières'!$I:$I,'Vol. Carrières'!$D:$D,'Vol. Carrières'!$D$7)</f>
        <v>0</v>
      </c>
      <c r="H5" s="576">
        <f>SUMIFS('Vol. Carrières'!$J:$J,'Vol. Carrières'!$D:$D,'Vol. Carrières'!$D$7)</f>
        <v>0</v>
      </c>
      <c r="I5" s="576">
        <f>SUMIFS('Vol. Carrières'!$K:$K,'Vol. Carrières'!$D:$D,'Vol. Carrières'!$D$7)</f>
        <v>0</v>
      </c>
      <c r="J5" s="576">
        <f>SUMIFS('Vol. Carrières'!$L:$L,'Vol. Carrières'!$D:$D,'Vol. Carrières'!$D$7)</f>
        <v>0</v>
      </c>
      <c r="K5" s="576">
        <f>SUMIFS('Vol. Carrières'!$M:$M,'Vol. Carrières'!$D:$D,'Vol. Carrières'!$D$7)</f>
        <v>0</v>
      </c>
      <c r="L5" s="576">
        <f>SUMIFS('Vol. Carrières'!$N:$N,'Vol. Carrières'!$D:$D,'Vol. Carrières'!$D$7)</f>
        <v>0</v>
      </c>
      <c r="M5" s="576">
        <f>SUMIFS('Vol. Carrières'!$O:$O,'Vol. Carrières'!$D:$D,'Vol. Carrières'!$D$7)</f>
        <v>0</v>
      </c>
      <c r="N5" s="576">
        <f>SUMIFS('Vol. Carrières'!$P:$P,'Vol. Carrières'!$D:$D,'Vol. Carrières'!$D$7)</f>
        <v>0</v>
      </c>
      <c r="O5" s="576">
        <f>SUM(C5:N5)</f>
        <v>90581</v>
      </c>
    </row>
    <row r="6" spans="1:15">
      <c r="A6" s="999"/>
      <c r="B6" s="577" t="s">
        <v>2018</v>
      </c>
      <c r="C6" s="578">
        <f>C4+C5</f>
        <v>178061</v>
      </c>
      <c r="D6" s="578">
        <f t="shared" ref="D6:N6" si="0">D4+D5</f>
        <v>226038</v>
      </c>
      <c r="E6" s="578">
        <f t="shared" si="0"/>
        <v>166390</v>
      </c>
      <c r="F6" s="578">
        <f t="shared" si="0"/>
        <v>0</v>
      </c>
      <c r="G6" s="578">
        <f t="shared" si="0"/>
        <v>0</v>
      </c>
      <c r="H6" s="578">
        <f t="shared" si="0"/>
        <v>0</v>
      </c>
      <c r="I6" s="578">
        <f t="shared" si="0"/>
        <v>0</v>
      </c>
      <c r="J6" s="578">
        <f t="shared" si="0"/>
        <v>0</v>
      </c>
      <c r="K6" s="578">
        <f t="shared" si="0"/>
        <v>0</v>
      </c>
      <c r="L6" s="578">
        <f t="shared" si="0"/>
        <v>0</v>
      </c>
      <c r="M6" s="578">
        <f t="shared" si="0"/>
        <v>0</v>
      </c>
      <c r="N6" s="578">
        <f t="shared" si="0"/>
        <v>0</v>
      </c>
      <c r="O6" s="591">
        <f>O4+O5</f>
        <v>570489</v>
      </c>
    </row>
    <row r="7" spans="1:15">
      <c r="A7" s="999"/>
      <c r="B7" s="580" t="s">
        <v>86</v>
      </c>
      <c r="C7" s="581">
        <f>SUMIFS('Vol. Carrières'!$E:$E,'Vol. Carrières'!$D:$D,'Vol. Carrières'!$D$9)</f>
        <v>193300</v>
      </c>
      <c r="D7" s="581">
        <f>SUMIFS('Vol. Carrières'!$F:$F,'Vol. Carrières'!$D:$D,'Vol. Carrières'!$D$9)</f>
        <v>204006</v>
      </c>
      <c r="E7" s="581">
        <f>SUMIFS('Vol. Carrières'!$G:$G,'Vol. Carrières'!$D:$D,'Vol. Carrières'!$D$9)</f>
        <v>190225</v>
      </c>
      <c r="F7" s="581">
        <f>SUMIFS('Vol. Carrières'!$H:$H,'Vol. Carrières'!$D:$D,'Vol. Carrières'!$D$9)</f>
        <v>191200</v>
      </c>
      <c r="G7" s="581">
        <f>SUMIFS('Vol. Carrières'!$I:$I,'Vol. Carrières'!$D:$D,'Vol. Carrières'!$D$9)</f>
        <v>155790</v>
      </c>
      <c r="H7" s="581">
        <f>SUMIFS('Vol. Carrières'!$J:$J,'Vol. Carrières'!$D:$D,'Vol. Carrières'!$D$9)</f>
        <v>137024</v>
      </c>
      <c r="I7" s="581">
        <f>SUMIFS('Vol. Carrières'!$K:$K,'Vol. Carrières'!$D:$D,'Vol. Carrières'!$D$9)</f>
        <v>158628</v>
      </c>
      <c r="J7" s="581">
        <f>SUMIFS('Vol. Carrières'!$L:$L,'Vol. Carrières'!$D:$D,'Vol. Carrières'!$D$9)</f>
        <v>143200</v>
      </c>
      <c r="K7" s="581">
        <f>SUMIFS('Vol. Carrières'!$M:$M,'Vol. Carrières'!$D:$D,'Vol. Carrières'!$D$9)</f>
        <v>160735</v>
      </c>
      <c r="L7" s="581">
        <f>SUMIFS('Vol. Carrières'!$N:$N,'Vol. Carrières'!$D:$D,'Vol. Carrières'!$D$9)</f>
        <v>213589</v>
      </c>
      <c r="M7" s="581">
        <f>SUMIFS('Vol. Carrières'!$O:$O,'Vol. Carrières'!$D:$D,'Vol. Carrières'!$D$9)</f>
        <v>158400</v>
      </c>
      <c r="N7" s="581">
        <f>SUMIFS('Vol. Carrières'!$P:$P,'Vol. Carrières'!$D:$D,'Vol. Carrières'!$D$9)</f>
        <v>54850</v>
      </c>
      <c r="O7" s="581">
        <f>SUM(C7:N7)</f>
        <v>1960947</v>
      </c>
    </row>
    <row r="8" spans="1:15">
      <c r="A8" s="999"/>
      <c r="B8" s="582" t="s">
        <v>1912</v>
      </c>
      <c r="C8" s="583">
        <f>SUMIFS('Vol. Carrières'!$E:$E,'Vol. Carrières'!$D:$D,'Vol. Carrières'!$D$10)</f>
        <v>193300</v>
      </c>
      <c r="D8" s="583">
        <f>SUMIFS('Vol. Carrières'!$F:$F,'Vol. Carrières'!$D:$D,'Vol. Carrières'!$D$10)</f>
        <v>132706</v>
      </c>
      <c r="E8" s="583">
        <f>SUMIFS('Vol. Carrières'!$G:$G,'Vol. Carrières'!$D:$D,'Vol. Carrières'!$D$10)</f>
        <v>184081</v>
      </c>
      <c r="F8" s="583">
        <f>SUMIFS('Vol. Carrières'!$H:$H,'Vol. Carrières'!$D:$D,'Vol. Carrières'!$D$10)</f>
        <v>213700</v>
      </c>
      <c r="G8" s="583">
        <f>SUMIFS('Vol. Carrières'!$I:$I,'Vol. Carrières'!$D:$D,'Vol. Carrières'!$D$10)</f>
        <v>139810</v>
      </c>
      <c r="H8" s="583">
        <f>SUMIFS('Vol. Carrières'!$J:$J,'Vol. Carrières'!$D:$D,'Vol. Carrières'!$D$10)</f>
        <v>153170</v>
      </c>
      <c r="I8" s="583">
        <f>SUMIFS('Vol. Carrières'!$K:$K,'Vol. Carrières'!$D:$D,'Vol. Carrières'!$D$10)</f>
        <v>202073</v>
      </c>
      <c r="J8" s="583">
        <f>SUMIFS('Vol. Carrières'!$L:$L,'Vol. Carrières'!$D:$D,'Vol. Carrières'!$D$10)</f>
        <v>127450</v>
      </c>
      <c r="K8" s="583">
        <f>SUMIFS('Vol. Carrières'!$M:$M,'Vol. Carrières'!$D:$D,'Vol. Carrières'!$D$10)</f>
        <v>145935</v>
      </c>
      <c r="L8" s="583">
        <f>SUMIFS('Vol. Carrières'!$N:$N,'Vol. Carrières'!$D:$D,'Vol. Carrières'!$D$10)</f>
        <v>207243</v>
      </c>
      <c r="M8" s="583">
        <f>SUMIFS('Vol. Carrières'!$O:$O,'Vol. Carrières'!$D:$D,'Vol. Carrières'!$D$10)</f>
        <v>162400</v>
      </c>
      <c r="N8" s="583">
        <f>SUMIFS('Vol. Carrières'!$P:$P,'Vol. Carrières'!$D:$D,'Vol. Carrières'!$D$10)</f>
        <v>62450</v>
      </c>
      <c r="O8" s="583">
        <f>SUM(C8:N8)</f>
        <v>1924318</v>
      </c>
    </row>
    <row r="9" spans="1:15">
      <c r="A9" s="999" t="s">
        <v>2047</v>
      </c>
      <c r="B9" s="584" t="s">
        <v>2019</v>
      </c>
      <c r="C9" s="585">
        <f>C4</f>
        <v>149781</v>
      </c>
      <c r="D9" s="585">
        <f t="shared" ref="D9:N9" si="1">D4+C9</f>
        <v>329120</v>
      </c>
      <c r="E9" s="585">
        <f t="shared" si="1"/>
        <v>479908</v>
      </c>
      <c r="F9" s="585">
        <f t="shared" si="1"/>
        <v>479908</v>
      </c>
      <c r="G9" s="585">
        <f t="shared" si="1"/>
        <v>479908</v>
      </c>
      <c r="H9" s="585">
        <f t="shared" si="1"/>
        <v>479908</v>
      </c>
      <c r="I9" s="585">
        <f t="shared" si="1"/>
        <v>479908</v>
      </c>
      <c r="J9" s="585">
        <f t="shared" si="1"/>
        <v>479908</v>
      </c>
      <c r="K9" s="585">
        <f t="shared" si="1"/>
        <v>479908</v>
      </c>
      <c r="L9" s="585">
        <f t="shared" si="1"/>
        <v>479908</v>
      </c>
      <c r="M9" s="585">
        <f t="shared" si="1"/>
        <v>479908</v>
      </c>
      <c r="N9" s="585">
        <f t="shared" si="1"/>
        <v>479908</v>
      </c>
      <c r="O9" s="586"/>
    </row>
    <row r="10" spans="1:15">
      <c r="A10" s="999"/>
      <c r="B10" s="587" t="s">
        <v>2017</v>
      </c>
      <c r="C10" s="588">
        <f>C5</f>
        <v>28280</v>
      </c>
      <c r="D10" s="588">
        <f t="shared" ref="D10:N10" si="2">D5+C10</f>
        <v>74979</v>
      </c>
      <c r="E10" s="588">
        <f t="shared" si="2"/>
        <v>90581</v>
      </c>
      <c r="F10" s="588">
        <f t="shared" si="2"/>
        <v>90581</v>
      </c>
      <c r="G10" s="588">
        <f t="shared" si="2"/>
        <v>90581</v>
      </c>
      <c r="H10" s="588">
        <f t="shared" si="2"/>
        <v>90581</v>
      </c>
      <c r="I10" s="588">
        <f t="shared" si="2"/>
        <v>90581</v>
      </c>
      <c r="J10" s="588">
        <f t="shared" si="2"/>
        <v>90581</v>
      </c>
      <c r="K10" s="588">
        <f t="shared" si="2"/>
        <v>90581</v>
      </c>
      <c r="L10" s="588">
        <f t="shared" si="2"/>
        <v>90581</v>
      </c>
      <c r="M10" s="588">
        <f t="shared" si="2"/>
        <v>90581</v>
      </c>
      <c r="N10" s="588">
        <f t="shared" si="2"/>
        <v>90581</v>
      </c>
      <c r="O10" s="589"/>
    </row>
    <row r="11" spans="1:15">
      <c r="A11" s="999"/>
      <c r="B11" s="590" t="s">
        <v>95</v>
      </c>
      <c r="C11" s="591">
        <f>C6</f>
        <v>178061</v>
      </c>
      <c r="D11" s="591">
        <f>D6+C11</f>
        <v>404099</v>
      </c>
      <c r="E11" s="591">
        <f t="shared" ref="E11:N11" si="3">E6+D11</f>
        <v>570489</v>
      </c>
      <c r="F11" s="591">
        <f t="shared" si="3"/>
        <v>570489</v>
      </c>
      <c r="G11" s="591">
        <f t="shared" si="3"/>
        <v>570489</v>
      </c>
      <c r="H11" s="591">
        <f t="shared" si="3"/>
        <v>570489</v>
      </c>
      <c r="I11" s="591">
        <f t="shared" si="3"/>
        <v>570489</v>
      </c>
      <c r="J11" s="591">
        <f t="shared" si="3"/>
        <v>570489</v>
      </c>
      <c r="K11" s="591">
        <f t="shared" si="3"/>
        <v>570489</v>
      </c>
      <c r="L11" s="591">
        <f t="shared" si="3"/>
        <v>570489</v>
      </c>
      <c r="M11" s="591">
        <f t="shared" si="3"/>
        <v>570489</v>
      </c>
      <c r="N11" s="591">
        <f t="shared" si="3"/>
        <v>570489</v>
      </c>
      <c r="O11" s="579"/>
    </row>
    <row r="12" spans="1:15">
      <c r="A12" s="999"/>
      <c r="B12" s="592" t="s">
        <v>2022</v>
      </c>
      <c r="C12" s="593">
        <f>C7</f>
        <v>193300</v>
      </c>
      <c r="D12" s="593">
        <f>D7+C12</f>
        <v>397306</v>
      </c>
      <c r="E12" s="593">
        <f t="shared" ref="E12:N12" si="4">E7+D12</f>
        <v>587531</v>
      </c>
      <c r="F12" s="593">
        <f t="shared" si="4"/>
        <v>778731</v>
      </c>
      <c r="G12" s="593">
        <f t="shared" si="4"/>
        <v>934521</v>
      </c>
      <c r="H12" s="593">
        <f t="shared" si="4"/>
        <v>1071545</v>
      </c>
      <c r="I12" s="593">
        <f t="shared" si="4"/>
        <v>1230173</v>
      </c>
      <c r="J12" s="593">
        <f t="shared" si="4"/>
        <v>1373373</v>
      </c>
      <c r="K12" s="593">
        <f t="shared" si="4"/>
        <v>1534108</v>
      </c>
      <c r="L12" s="593">
        <f t="shared" si="4"/>
        <v>1747697</v>
      </c>
      <c r="M12" s="593">
        <f t="shared" si="4"/>
        <v>1906097</v>
      </c>
      <c r="N12" s="593">
        <f t="shared" si="4"/>
        <v>1960947</v>
      </c>
      <c r="O12" s="594"/>
    </row>
    <row r="13" spans="1:15">
      <c r="A13" s="999"/>
      <c r="B13" s="595" t="s">
        <v>2023</v>
      </c>
      <c r="C13" s="596">
        <f>C8</f>
        <v>193300</v>
      </c>
      <c r="D13" s="596">
        <f>D8+C13</f>
        <v>326006</v>
      </c>
      <c r="E13" s="596">
        <f t="shared" ref="E13:N13" si="5">E8+D13</f>
        <v>510087</v>
      </c>
      <c r="F13" s="596">
        <f t="shared" si="5"/>
        <v>723787</v>
      </c>
      <c r="G13" s="596">
        <f t="shared" si="5"/>
        <v>863597</v>
      </c>
      <c r="H13" s="596">
        <f t="shared" si="5"/>
        <v>1016767</v>
      </c>
      <c r="I13" s="596">
        <f t="shared" si="5"/>
        <v>1218840</v>
      </c>
      <c r="J13" s="596">
        <f t="shared" si="5"/>
        <v>1346290</v>
      </c>
      <c r="K13" s="596">
        <f t="shared" si="5"/>
        <v>1492225</v>
      </c>
      <c r="L13" s="596">
        <f t="shared" si="5"/>
        <v>1699468</v>
      </c>
      <c r="M13" s="596">
        <f t="shared" si="5"/>
        <v>1861868</v>
      </c>
      <c r="N13" s="596">
        <f t="shared" si="5"/>
        <v>1924318</v>
      </c>
      <c r="O13" s="662"/>
    </row>
    <row r="14" spans="1:15">
      <c r="A14" s="10"/>
      <c r="B14" s="10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"/>
    </row>
    <row r="15" spans="1:15">
      <c r="A15" s="10"/>
      <c r="B15" s="1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"/>
    </row>
  </sheetData>
  <mergeCells count="3">
    <mergeCell ref="A1:O2"/>
    <mergeCell ref="A4:A8"/>
    <mergeCell ref="A9:A13"/>
  </mergeCells>
  <pageMargins left="0.25" right="0.25" top="0.75" bottom="0.75" header="0.3" footer="0.3"/>
  <pageSetup paperSize="8" orientation="landscape" r:id="rId1"/>
  <ignoredErrors>
    <ignoredError sqref="O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>
    <tabColor rgb="FF00B050"/>
  </sheetPr>
  <dimension ref="A1:Q3"/>
  <sheetViews>
    <sheetView workbookViewId="0">
      <selection activeCell="S17" sqref="S17"/>
    </sheetView>
  </sheetViews>
  <sheetFormatPr baseColWidth="10" defaultRowHeight="15"/>
  <cols>
    <col min="1" max="21" width="12" customWidth="1"/>
  </cols>
  <sheetData>
    <row r="1" spans="1:17" ht="15" customHeight="1">
      <c r="A1" s="765"/>
      <c r="B1" s="762"/>
      <c r="C1" s="762"/>
      <c r="D1" s="874" t="s">
        <v>2059</v>
      </c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0"/>
      <c r="P1" s="870"/>
      <c r="Q1" s="871"/>
    </row>
    <row r="2" spans="1:17" ht="18.75" customHeight="1" thickBot="1">
      <c r="A2" s="763"/>
      <c r="B2" s="764"/>
      <c r="C2" s="764"/>
      <c r="D2" s="875"/>
      <c r="E2" s="875"/>
      <c r="F2" s="875"/>
      <c r="G2" s="875"/>
      <c r="H2" s="875"/>
      <c r="I2" s="875"/>
      <c r="J2" s="875"/>
      <c r="K2" s="875"/>
      <c r="L2" s="875"/>
      <c r="M2" s="875"/>
      <c r="N2" s="875"/>
      <c r="O2" s="872"/>
      <c r="P2" s="872"/>
      <c r="Q2" s="873"/>
    </row>
    <row r="3" spans="1:17" ht="13.5" customHeight="1"/>
  </sheetData>
  <mergeCells count="2">
    <mergeCell ref="O1:Q2"/>
    <mergeCell ref="D1:N2"/>
  </mergeCells>
  <pageMargins left="0.25" right="0.25" top="0.75" bottom="0.75" header="0.3" footer="0.3"/>
  <pageSetup paperSize="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>
    <tabColor rgb="FFFFFF00"/>
  </sheetPr>
  <dimension ref="A1:Q83"/>
  <sheetViews>
    <sheetView topLeftCell="A18" workbookViewId="0">
      <selection activeCell="A52" sqref="A52:XFD52"/>
    </sheetView>
  </sheetViews>
  <sheetFormatPr baseColWidth="10" defaultRowHeight="15"/>
  <cols>
    <col min="1" max="1" width="16.5703125" customWidth="1"/>
    <col min="2" max="2" width="23.42578125" customWidth="1"/>
    <col min="4" max="4" width="25.85546875" customWidth="1"/>
  </cols>
  <sheetData>
    <row r="1" spans="1:17" ht="29.25" customHeight="1">
      <c r="A1" s="820" t="s">
        <v>2040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822"/>
    </row>
    <row r="2" spans="1:17" ht="6" customHeight="1">
      <c r="A2" s="823"/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824"/>
      <c r="O2" s="824"/>
      <c r="P2" s="824"/>
      <c r="Q2" s="825"/>
    </row>
    <row r="3" spans="1:17" ht="15.75" thickBot="1"/>
    <row r="4" spans="1:17" ht="15.75">
      <c r="A4" s="529" t="s">
        <v>43</v>
      </c>
      <c r="B4" s="710" t="s">
        <v>74</v>
      </c>
      <c r="C4" s="685"/>
      <c r="D4" s="685"/>
      <c r="E4" s="687" t="s">
        <v>29</v>
      </c>
      <c r="F4" s="687" t="s">
        <v>30</v>
      </c>
      <c r="G4" s="687" t="s">
        <v>31</v>
      </c>
      <c r="H4" s="687" t="s">
        <v>32</v>
      </c>
      <c r="I4" s="687" t="s">
        <v>33</v>
      </c>
      <c r="J4" s="687" t="s">
        <v>34</v>
      </c>
      <c r="K4" s="687" t="s">
        <v>35</v>
      </c>
      <c r="L4" s="687" t="s">
        <v>65</v>
      </c>
      <c r="M4" s="687" t="s">
        <v>37</v>
      </c>
      <c r="N4" s="687" t="s">
        <v>38</v>
      </c>
      <c r="O4" s="687" t="s">
        <v>39</v>
      </c>
      <c r="P4" s="687" t="s">
        <v>40</v>
      </c>
      <c r="Q4" s="722" t="s">
        <v>3</v>
      </c>
    </row>
    <row r="5" spans="1:17">
      <c r="A5" s="706" t="s">
        <v>43</v>
      </c>
      <c r="B5" s="711" t="s">
        <v>74</v>
      </c>
      <c r="C5" s="1000" t="s">
        <v>2024</v>
      </c>
      <c r="D5" s="723" t="s">
        <v>2018</v>
      </c>
      <c r="E5" s="724">
        <f>SUMIFS('Vol. Carrières'!$E:$E,'Vol. Carrières'!$B:$B,'Vol. Carrières'!$B$5,'Vol. Carrières'!$D:$D,'Vol. Carrières'!$D$8)</f>
        <v>1091</v>
      </c>
      <c r="F5" s="725">
        <f>SUMIFS('Vol. Carrières'!$F:$F,'Vol. Carrières'!$B:$B,'Vol. Carrières'!$B$5,'Vol. Carrières'!$D:$D,'Vol. Carrières'!$D$8)</f>
        <v>627</v>
      </c>
      <c r="G5" s="725">
        <f>SUMIFS('Vol. Carrières'!$G:$G,'Vol. Carrières'!$B:$B,'Vol. Carrières'!$B$5,'Vol. Carrières'!$D:$D,'Vol. Carrières'!$D$8)</f>
        <v>0</v>
      </c>
      <c r="H5" s="725">
        <f>SUMIFS('Vol. Carrières'!$H:$H,'Vol. Carrières'!$B:$B,'Vol. Carrières'!$B$5,'Vol. Carrières'!$D:$D,'Vol. Carrières'!$D$8)</f>
        <v>0</v>
      </c>
      <c r="I5" s="725">
        <f>SUMIFS('Vol. Carrières'!$I:$I,'Vol. Carrières'!$B:$B,'Vol. Carrières'!$B$5,'Vol. Carrières'!$D:$D,'Vol. Carrières'!$D$8)</f>
        <v>0</v>
      </c>
      <c r="J5" s="725">
        <f>SUMIFS('Vol. Carrières'!$J:$J,'Vol. Carrières'!$B:$B,'Vol. Carrières'!$B$5,'Vol. Carrières'!$D:$D,'Vol. Carrières'!$D$8)</f>
        <v>0</v>
      </c>
      <c r="K5" s="725">
        <f>SUMIFS('Vol. Carrières'!$K:$K,'Vol. Carrières'!$B:$B,'Vol. Carrières'!$B$5,'Vol. Carrières'!$D:$D,'Vol. Carrières'!$D$8)</f>
        <v>0</v>
      </c>
      <c r="L5" s="725">
        <f>SUMIFS('Vol. Carrières'!$L:$L,'Vol. Carrières'!$B:$B,'Vol. Carrières'!$B$5,'Vol. Carrières'!$D:$D,'Vol. Carrières'!$D$8)</f>
        <v>0</v>
      </c>
      <c r="M5" s="725">
        <f>SUMIFS('Vol. Carrières'!$M:$M,'Vol. Carrières'!$B:$B,'Vol. Carrières'!$B$5,'Vol. Carrières'!$D:$D,'Vol. Carrières'!$D$8)</f>
        <v>0</v>
      </c>
      <c r="N5" s="725">
        <f>SUMIFS('Vol. Carrières'!$N:$N,'Vol. Carrières'!$B:$B,'Vol. Carrières'!$B$5,'Vol. Carrières'!$D:$D,'Vol. Carrières'!$D$8)</f>
        <v>0</v>
      </c>
      <c r="O5" s="725">
        <f>SUMIFS('Vol. Carrières'!$O:$O,'Vol. Carrières'!$B:$B,'Vol. Carrières'!$B$5,'Vol. Carrières'!$D:$D,'Vol. Carrières'!$D$8)</f>
        <v>0</v>
      </c>
      <c r="P5" s="725">
        <f>SUMIFS('Vol. Carrières'!$P:$P,'Vol. Carrières'!$B:$B,'Vol. Carrières'!$B$5,'Vol. Carrières'!$D:$D,'Vol. Carrières'!$D$8)</f>
        <v>0</v>
      </c>
      <c r="Q5" s="733">
        <f>SUM(E5:P5)</f>
        <v>1718</v>
      </c>
    </row>
    <row r="6" spans="1:17">
      <c r="A6" s="706" t="s">
        <v>43</v>
      </c>
      <c r="B6" s="711" t="s">
        <v>74</v>
      </c>
      <c r="C6" s="1000"/>
      <c r="D6" s="723" t="s">
        <v>2038</v>
      </c>
      <c r="E6" s="726">
        <f>'[5]Vol. Carrières'!$E$8</f>
        <v>3776</v>
      </c>
      <c r="F6" s="726">
        <f>'[5]Vol. Carrières'!$F$8</f>
        <v>4879</v>
      </c>
      <c r="G6" s="726">
        <f>'[5]Vol. Carrières'!$G$8</f>
        <v>2463</v>
      </c>
      <c r="H6" s="726">
        <f>'[5]Vol. Carrières'!$H$8</f>
        <v>0</v>
      </c>
      <c r="I6" s="726">
        <f>'[5]Vol. Carrières'!$I$8</f>
        <v>81</v>
      </c>
      <c r="J6" s="726">
        <f>'[5]Vol. Carrières'!$J$8</f>
        <v>0</v>
      </c>
      <c r="K6" s="726">
        <f>'[5]Vol. Carrières'!$K$8</f>
        <v>0</v>
      </c>
      <c r="L6" s="726">
        <f>'[5]Vol. Carrières'!$L$8</f>
        <v>0</v>
      </c>
      <c r="M6" s="726">
        <f>'[5]Vol. Carrières'!$M$8</f>
        <v>198</v>
      </c>
      <c r="N6" s="726">
        <f>'[5]Vol. Carrières'!$N$8</f>
        <v>0</v>
      </c>
      <c r="O6" s="726">
        <f>'[5]Vol. Carrières'!$O$8</f>
        <v>0</v>
      </c>
      <c r="P6" s="726">
        <f>'[5]Vol. Carrières'!$P$8</f>
        <v>0</v>
      </c>
      <c r="Q6" s="734">
        <f>SUM(E6:P6)</f>
        <v>11397</v>
      </c>
    </row>
    <row r="7" spans="1:17">
      <c r="A7" s="706" t="s">
        <v>43</v>
      </c>
      <c r="B7" s="711" t="s">
        <v>74</v>
      </c>
      <c r="C7" s="1001" t="s">
        <v>2047</v>
      </c>
      <c r="D7" s="727" t="s">
        <v>2073</v>
      </c>
      <c r="E7" s="728">
        <f>SUMIFS('Vol. Carrières'!$E:$E,'Vol. Carrières'!$B:$B,'Vol. Carrières'!$B$5,'Vol. Carrières'!$D:$D,'Vol. Carrières'!$D$13)</f>
        <v>1091</v>
      </c>
      <c r="F7" s="728">
        <f>SUMIFS('Vol. Carrières'!$F:$F,'Vol. Carrières'!$B:$B,'Vol. Carrières'!$B$5,'Vol. Carrières'!$D:$D,'Vol. Carrières'!$D$13)</f>
        <v>1718</v>
      </c>
      <c r="G7" s="728">
        <f>SUMIFS('Vol. Carrières'!$G:$G,'Vol. Carrières'!$B:$B,'Vol. Carrières'!$B$5,'Vol. Carrières'!$D:$D,'Vol. Carrières'!$D$13)</f>
        <v>1718</v>
      </c>
      <c r="H7" s="728">
        <f>SUMIFS('Vol. Carrières'!$H:$H,'Vol. Carrières'!$B:$B,'Vol. Carrières'!$B$5,'Vol. Carrières'!$D:$D,'Vol. Carrières'!$D$13)</f>
        <v>1718</v>
      </c>
      <c r="I7" s="728">
        <f>SUMIFS('Vol. Carrières'!$I:$I,'Vol. Carrières'!$B:$B,'Vol. Carrières'!$B$5,'Vol. Carrières'!$D:$D,'Vol. Carrières'!$D$13)</f>
        <v>1718</v>
      </c>
      <c r="J7" s="728">
        <f>SUMIFS('Vol. Carrières'!$J:$J,'Vol. Carrières'!$B:$B,'Vol. Carrières'!$B$5,'Vol. Carrières'!$D:$D,'Vol. Carrières'!$D$13)</f>
        <v>1718</v>
      </c>
      <c r="K7" s="728">
        <f>SUMIFS('Vol. Carrières'!$K:$K,'Vol. Carrières'!$B:$B,'Vol. Carrières'!$B$5,'Vol. Carrières'!$D:$D,'Vol. Carrières'!$D$13)</f>
        <v>1718</v>
      </c>
      <c r="L7" s="728">
        <f>SUMIFS('Vol. Carrières'!$L:$L,'Vol. Carrières'!$B:$B,'Vol. Carrières'!$B$5,'Vol. Carrières'!$D:$D,'Vol. Carrières'!$D$13)</f>
        <v>1718</v>
      </c>
      <c r="M7" s="728">
        <f>SUMIFS('Vol. Carrières'!$M:$M,'Vol. Carrières'!$B:$B,'Vol. Carrières'!$B$5,'Vol. Carrières'!$D:$D,'Vol. Carrières'!$D$13)</f>
        <v>1718</v>
      </c>
      <c r="N7" s="728">
        <f>SUMIFS('Vol. Carrières'!$N:$N,'Vol. Carrières'!$B:$B,'Vol. Carrières'!$B$5,'Vol. Carrières'!$D:$D,'Vol. Carrières'!$D$13)</f>
        <v>1718</v>
      </c>
      <c r="O7" s="728">
        <f>SUMIFS('Vol. Carrières'!$O:$O,'Vol. Carrières'!$B:$B,'Vol. Carrières'!$B$5,'Vol. Carrières'!$D:$D,'Vol. Carrières'!$D$13)</f>
        <v>1718</v>
      </c>
      <c r="P7" s="728">
        <f>SUMIFS('Vol. Carrières'!$P:$P,'Vol. Carrières'!$B:$B,'Vol. Carrières'!$B$5,'Vol. Carrières'!$D:$D,'Vol. Carrières'!$D$13)</f>
        <v>1718</v>
      </c>
      <c r="Q7" s="731"/>
    </row>
    <row r="8" spans="1:17" ht="15.75" thickBot="1">
      <c r="A8" s="707" t="s">
        <v>43</v>
      </c>
      <c r="B8" s="712" t="s">
        <v>74</v>
      </c>
      <c r="C8" s="1002"/>
      <c r="D8" s="729" t="s">
        <v>2074</v>
      </c>
      <c r="E8" s="730">
        <f>'[5]Vol. Carrières'!E13</f>
        <v>3776</v>
      </c>
      <c r="F8" s="730">
        <f>'[5]Vol. Carrières'!F13</f>
        <v>8655</v>
      </c>
      <c r="G8" s="730">
        <f>'[5]Vol. Carrières'!G13</f>
        <v>11118</v>
      </c>
      <c r="H8" s="730">
        <f>'[5]Vol. Carrières'!H13</f>
        <v>11118</v>
      </c>
      <c r="I8" s="730">
        <f>'[5]Vol. Carrières'!I13</f>
        <v>11199</v>
      </c>
      <c r="J8" s="730">
        <f>'[5]Vol. Carrières'!J13</f>
        <v>11199</v>
      </c>
      <c r="K8" s="730">
        <f>'[5]Vol. Carrières'!K13</f>
        <v>11199</v>
      </c>
      <c r="L8" s="730">
        <f>'[5]Vol. Carrières'!L13</f>
        <v>11199</v>
      </c>
      <c r="M8" s="730">
        <f>'[5]Vol. Carrières'!M13</f>
        <v>11397</v>
      </c>
      <c r="N8" s="730">
        <f>'[5]Vol. Carrières'!N13</f>
        <v>11397</v>
      </c>
      <c r="O8" s="730">
        <f>'[5]Vol. Carrières'!O13</f>
        <v>11397</v>
      </c>
      <c r="P8" s="730">
        <f>'[5]Vol. Carrières'!P13</f>
        <v>11397</v>
      </c>
      <c r="Q8" s="732"/>
    </row>
    <row r="9" spans="1:17" ht="15.75">
      <c r="A9" s="529" t="s">
        <v>43</v>
      </c>
      <c r="B9" s="710" t="s">
        <v>75</v>
      </c>
      <c r="C9" s="704"/>
      <c r="D9" s="704"/>
      <c r="E9" s="705" t="s">
        <v>29</v>
      </c>
      <c r="F9" s="705" t="s">
        <v>30</v>
      </c>
      <c r="G9" s="705" t="s">
        <v>31</v>
      </c>
      <c r="H9" s="705" t="s">
        <v>32</v>
      </c>
      <c r="I9" s="705" t="s">
        <v>33</v>
      </c>
      <c r="J9" s="705" t="s">
        <v>34</v>
      </c>
      <c r="K9" s="705" t="s">
        <v>35</v>
      </c>
      <c r="L9" s="705" t="s">
        <v>65</v>
      </c>
      <c r="M9" s="705" t="s">
        <v>37</v>
      </c>
      <c r="N9" s="705" t="s">
        <v>38</v>
      </c>
      <c r="O9" s="705" t="s">
        <v>39</v>
      </c>
      <c r="P9" s="705" t="s">
        <v>40</v>
      </c>
      <c r="Q9" s="722" t="s">
        <v>3</v>
      </c>
    </row>
    <row r="10" spans="1:17">
      <c r="A10" s="706" t="s">
        <v>43</v>
      </c>
      <c r="B10" s="711" t="s">
        <v>75</v>
      </c>
      <c r="C10" s="1000" t="s">
        <v>2024</v>
      </c>
      <c r="D10" s="723" t="s">
        <v>2018</v>
      </c>
      <c r="E10" s="724">
        <f>SUMIFS('Vol. Carrières'!$E:$E,'Vol. Carrières'!$B:$B,'Vol. Carrières'!$B$17,'Vol. Carrières'!$D:$D,'Vol. Carrières'!$D$8)</f>
        <v>12773</v>
      </c>
      <c r="F10" s="725">
        <f>SUMIFS('Vol. Carrières'!F:F,'Vol. Carrières'!$B:$B,'Vol. Carrières'!$B$17,'Vol. Carrières'!$D:$D,'Vol. Carrières'!$D$8)</f>
        <v>23831</v>
      </c>
      <c r="G10" s="725">
        <f>SUMIFS('Vol. Carrières'!G:G,'Vol. Carrières'!$B:$B,'Vol. Carrières'!$B$17,'Vol. Carrières'!$D:$D,'Vol. Carrières'!$D$8)</f>
        <v>16310</v>
      </c>
      <c r="H10" s="725">
        <f>SUMIFS('Vol. Carrières'!H:H,'Vol. Carrières'!$B:$B,'Vol. Carrières'!$B$17,'Vol. Carrières'!$D:$D,'Vol. Carrières'!$D$8)</f>
        <v>0</v>
      </c>
      <c r="I10" s="725">
        <f>SUMIFS('Vol. Carrières'!I:I,'Vol. Carrières'!$B:$B,'Vol. Carrières'!$B$17,'Vol. Carrières'!$D:$D,'Vol. Carrières'!$D$8)</f>
        <v>0</v>
      </c>
      <c r="J10" s="725">
        <f>SUMIFS('Vol. Carrières'!J:J,'Vol. Carrières'!$B:$B,'Vol. Carrières'!$B$17,'Vol. Carrières'!$D:$D,'Vol. Carrières'!$D$8)</f>
        <v>0</v>
      </c>
      <c r="K10" s="725">
        <f>SUMIFS('Vol. Carrières'!K:K,'Vol. Carrières'!$B:$B,'Vol. Carrières'!$B$17,'Vol. Carrières'!$D:$D,'Vol. Carrières'!$D$8)</f>
        <v>0</v>
      </c>
      <c r="L10" s="725">
        <f>SUMIFS('Vol. Carrières'!L:L,'Vol. Carrières'!$B:$B,'Vol. Carrières'!$B$17,'Vol. Carrières'!$D:$D,'Vol. Carrières'!$D$8)</f>
        <v>0</v>
      </c>
      <c r="M10" s="725">
        <f>SUMIFS('Vol. Carrières'!M:M,'Vol. Carrières'!$B:$B,'Vol. Carrières'!$B$17,'Vol. Carrières'!$D:$D,'Vol. Carrières'!$D$8)</f>
        <v>0</v>
      </c>
      <c r="N10" s="725">
        <f>SUMIFS('Vol. Carrières'!N:N,'Vol. Carrières'!$B:$B,'Vol. Carrières'!$B$17,'Vol. Carrières'!$D:$D,'Vol. Carrières'!$D$8)</f>
        <v>0</v>
      </c>
      <c r="O10" s="725">
        <f>SUMIFS('Vol. Carrières'!O:O,'Vol. Carrières'!$B:$B,'Vol. Carrières'!$B$17,'Vol. Carrières'!$D:$D,'Vol. Carrières'!$D$8)</f>
        <v>0</v>
      </c>
      <c r="P10" s="725">
        <f>SUMIFS('Vol. Carrières'!P:P,'Vol. Carrières'!$B:$B,'Vol. Carrières'!$B$17,'Vol. Carrières'!$D:$D,'Vol. Carrières'!$D$8)</f>
        <v>0</v>
      </c>
      <c r="Q10" s="733">
        <f>SUM(E10:P10)</f>
        <v>52914</v>
      </c>
    </row>
    <row r="11" spans="1:17">
      <c r="A11" s="706" t="s">
        <v>43</v>
      </c>
      <c r="B11" s="711" t="s">
        <v>75</v>
      </c>
      <c r="C11" s="1000"/>
      <c r="D11" s="723" t="s">
        <v>2038</v>
      </c>
      <c r="E11" s="726">
        <f>'[5]Vol. Carrières'!E20</f>
        <v>0</v>
      </c>
      <c r="F11" s="726">
        <f>'[5]Vol. Carrières'!F20</f>
        <v>0</v>
      </c>
      <c r="G11" s="726">
        <f>'[5]Vol. Carrières'!G20</f>
        <v>0</v>
      </c>
      <c r="H11" s="726">
        <f>'[5]Vol. Carrières'!H20</f>
        <v>0</v>
      </c>
      <c r="I11" s="726">
        <f>'[5]Vol. Carrières'!I20</f>
        <v>4065</v>
      </c>
      <c r="J11" s="726">
        <f>'[5]Vol. Carrières'!J20</f>
        <v>7952</v>
      </c>
      <c r="K11" s="726">
        <f>'[5]Vol. Carrières'!K20</f>
        <v>7040</v>
      </c>
      <c r="L11" s="726">
        <f>'[5]Vol. Carrières'!L20</f>
        <v>3596</v>
      </c>
      <c r="M11" s="726">
        <f>'[5]Vol. Carrières'!M20</f>
        <v>18180</v>
      </c>
      <c r="N11" s="726">
        <f>'[5]Vol. Carrières'!N20</f>
        <v>16020</v>
      </c>
      <c r="O11" s="726">
        <f>'[5]Vol. Carrières'!O20</f>
        <v>15051</v>
      </c>
      <c r="P11" s="726">
        <f>'[5]Vol. Carrières'!P20</f>
        <v>4949</v>
      </c>
      <c r="Q11" s="734">
        <f>SUM(E11:P11)</f>
        <v>76853</v>
      </c>
    </row>
    <row r="12" spans="1:17">
      <c r="A12" s="706" t="s">
        <v>43</v>
      </c>
      <c r="B12" s="711" t="s">
        <v>75</v>
      </c>
      <c r="C12" s="1001" t="s">
        <v>2047</v>
      </c>
      <c r="D12" s="727" t="s">
        <v>2073</v>
      </c>
      <c r="E12" s="728">
        <f>SUMIFS('Vol. Carrières'!$E:$E,'Vol. Carrières'!$B:$B,'Vol. Carrières'!$B$17,'Vol. Carrières'!$D:$D,'Vol. Carrières'!$D$25)</f>
        <v>12773</v>
      </c>
      <c r="F12" s="728">
        <f>SUMIFS('Vol. Carrières'!$F:$F,'Vol. Carrières'!$B:$B,'Vol. Carrières'!$B$17,'Vol. Carrières'!$D:$D,'Vol. Carrières'!$D$25)</f>
        <v>36604</v>
      </c>
      <c r="G12" s="728">
        <f>SUMIFS('Vol. Carrières'!$G:$G,'Vol. Carrières'!$B:$B,'Vol. Carrières'!$B$17,'Vol. Carrières'!$D:$D,'Vol. Carrières'!$D$13)</f>
        <v>52914</v>
      </c>
      <c r="H12" s="728">
        <f>SUMIFS('Vol. Carrières'!$H:$H,'Vol. Carrières'!$B:$B,'Vol. Carrières'!$B$17,'Vol. Carrières'!$D:$D,'Vol. Carrières'!$D$13)</f>
        <v>52914</v>
      </c>
      <c r="I12" s="728">
        <f>SUMIFS('Vol. Carrières'!$I:$I,'Vol. Carrières'!$B:$B,'Vol. Carrières'!$B$17,'Vol. Carrières'!$D:$D,'Vol. Carrières'!$D$13)</f>
        <v>52914</v>
      </c>
      <c r="J12" s="728">
        <f>SUMIFS('Vol. Carrières'!$J:$J,'Vol. Carrières'!$B:$B,'Vol. Carrières'!$B$17,'Vol. Carrières'!$D:$D,'Vol. Carrières'!$D$13)</f>
        <v>52914</v>
      </c>
      <c r="K12" s="728">
        <f>SUMIFS('Vol. Carrières'!$K:$K,'Vol. Carrières'!$B:$B,'Vol. Carrières'!$B$17,'Vol. Carrières'!$D:$D,'Vol. Carrières'!$D$13)</f>
        <v>52914</v>
      </c>
      <c r="L12" s="728">
        <f>SUMIFS('Vol. Carrières'!$L:$L,'Vol. Carrières'!$B:$B,'Vol. Carrières'!$B$17,'Vol. Carrières'!$D:$D,'Vol. Carrières'!$D$13)</f>
        <v>52914</v>
      </c>
      <c r="M12" s="728">
        <f>SUMIFS('Vol. Carrières'!$M:$M,'Vol. Carrières'!$B:$B,'Vol. Carrières'!$B$17,'Vol. Carrières'!$D:$D,'Vol. Carrières'!$D$13)</f>
        <v>52914</v>
      </c>
      <c r="N12" s="728">
        <f>SUMIFS('Vol. Carrières'!$N:$N,'Vol. Carrières'!$B:$B,'Vol. Carrières'!$B$17,'Vol. Carrières'!$D:$D,'Vol. Carrières'!$D$13)</f>
        <v>52914</v>
      </c>
      <c r="O12" s="728">
        <f>SUMIFS('Vol. Carrières'!$O:$O,'Vol. Carrières'!$B:$B,'Vol. Carrières'!$B$17,'Vol. Carrières'!$D:$D,'Vol. Carrières'!$D$13)</f>
        <v>52914</v>
      </c>
      <c r="P12" s="728">
        <f>SUMIFS('Vol. Carrières'!$P:$P,'Vol. Carrières'!$B:$B,'Vol. Carrières'!$B$17,'Vol. Carrières'!$D:$D,'Vol. Carrières'!$D$13)</f>
        <v>52914</v>
      </c>
      <c r="Q12" s="731"/>
    </row>
    <row r="13" spans="1:17" ht="15.75" thickBot="1">
      <c r="A13" s="707" t="s">
        <v>43</v>
      </c>
      <c r="B13" s="712" t="s">
        <v>75</v>
      </c>
      <c r="C13" s="1002"/>
      <c r="D13" s="729" t="s">
        <v>2074</v>
      </c>
      <c r="E13" s="730">
        <f>'[5]Vol. Carrières'!E25</f>
        <v>0</v>
      </c>
      <c r="F13" s="730">
        <f>'[5]Vol. Carrières'!F25</f>
        <v>0</v>
      </c>
      <c r="G13" s="730">
        <f>'[5]Vol. Carrières'!G25</f>
        <v>0</v>
      </c>
      <c r="H13" s="730">
        <f>'[5]Vol. Carrières'!H25</f>
        <v>0</v>
      </c>
      <c r="I13" s="730">
        <f>'[5]Vol. Carrières'!I25</f>
        <v>4065</v>
      </c>
      <c r="J13" s="730">
        <f>'[5]Vol. Carrières'!J25</f>
        <v>12017</v>
      </c>
      <c r="K13" s="730">
        <f>'[5]Vol. Carrières'!K25</f>
        <v>19057</v>
      </c>
      <c r="L13" s="730">
        <f>'[5]Vol. Carrières'!L25</f>
        <v>22653</v>
      </c>
      <c r="M13" s="730">
        <f>'[5]Vol. Carrières'!M25</f>
        <v>40833</v>
      </c>
      <c r="N13" s="730">
        <f>'[5]Vol. Carrières'!N25</f>
        <v>56853</v>
      </c>
      <c r="O13" s="730">
        <f>'[5]Vol. Carrières'!O25</f>
        <v>71904</v>
      </c>
      <c r="P13" s="730">
        <f>'[5]Vol. Carrières'!P25</f>
        <v>76853</v>
      </c>
      <c r="Q13" s="732"/>
    </row>
    <row r="14" spans="1:17" ht="15.75">
      <c r="A14" s="529" t="s">
        <v>43</v>
      </c>
      <c r="B14" s="710" t="s">
        <v>72</v>
      </c>
      <c r="C14" s="685"/>
      <c r="D14" s="685"/>
      <c r="E14" s="687" t="s">
        <v>29</v>
      </c>
      <c r="F14" s="687" t="s">
        <v>30</v>
      </c>
      <c r="G14" s="687" t="s">
        <v>31</v>
      </c>
      <c r="H14" s="687" t="s">
        <v>32</v>
      </c>
      <c r="I14" s="687" t="s">
        <v>33</v>
      </c>
      <c r="J14" s="687" t="s">
        <v>34</v>
      </c>
      <c r="K14" s="687" t="s">
        <v>35</v>
      </c>
      <c r="L14" s="687" t="s">
        <v>65</v>
      </c>
      <c r="M14" s="687" t="s">
        <v>37</v>
      </c>
      <c r="N14" s="687" t="s">
        <v>38</v>
      </c>
      <c r="O14" s="687" t="s">
        <v>39</v>
      </c>
      <c r="P14" s="687" t="s">
        <v>40</v>
      </c>
      <c r="Q14" s="722" t="s">
        <v>3</v>
      </c>
    </row>
    <row r="15" spans="1:17">
      <c r="A15" s="706" t="s">
        <v>43</v>
      </c>
      <c r="B15" s="711" t="s">
        <v>72</v>
      </c>
      <c r="C15" s="1000" t="s">
        <v>2024</v>
      </c>
      <c r="D15" s="723" t="s">
        <v>2018</v>
      </c>
      <c r="E15" s="724">
        <f>SUMIFS('Vol. Carrières'!$E:$E,'Vol. Carrières'!$B:$B,'Vol. Carrières'!$B$29,'Vol. Carrières'!$D:$D,'Vol. Carrières'!$D$32)</f>
        <v>10650</v>
      </c>
      <c r="F15" s="725">
        <f>SUMIFS('Vol. Carrières'!$F:$F,'Vol. Carrières'!$B:$B,'Vol. Carrières'!$B$29,'Vol. Carrières'!$D:$D,'Vol. Carrières'!$D$20)</f>
        <v>14030</v>
      </c>
      <c r="G15" s="725">
        <f>SUMIFS('Vol. Carrières'!$G:$G,'Vol. Carrières'!$B:$B,'Vol. Carrières'!$B$29,'Vol. Carrières'!$D:$D,'Vol. Carrières'!$D$20)</f>
        <v>13139</v>
      </c>
      <c r="H15" s="725">
        <f>SUMIFS('Vol. Carrières'!$H:$H,'Vol. Carrières'!$B:$B,'Vol. Carrières'!$B$29,'Vol. Carrières'!$D:$D,'Vol. Carrières'!$D$20)</f>
        <v>0</v>
      </c>
      <c r="I15" s="725">
        <f>SUMIFS('Vol. Carrières'!$I:$I,'Vol. Carrières'!$B:$B,'Vol. Carrières'!$B$29,'Vol. Carrières'!$D:$D,'Vol. Carrières'!$D$20)</f>
        <v>0</v>
      </c>
      <c r="J15" s="725">
        <f>SUMIFS('Vol. Carrières'!$J:$J,'Vol. Carrières'!$B:$B,'Vol. Carrières'!$B$29,'Vol. Carrières'!$D:$D,'Vol. Carrières'!$D$20)</f>
        <v>0</v>
      </c>
      <c r="K15" s="725">
        <f>SUMIFS('Vol. Carrières'!$K:$K,'Vol. Carrières'!$B:$B,'Vol. Carrières'!$B$29,'Vol. Carrières'!$D:$D,'Vol. Carrières'!$D$20)</f>
        <v>0</v>
      </c>
      <c r="L15" s="725">
        <f>SUMIFS('Vol. Carrières'!$L:$L,'Vol. Carrières'!$B:$B,'Vol. Carrières'!$B$29,'Vol. Carrières'!$D:$D,'Vol. Carrières'!$D$20)</f>
        <v>0</v>
      </c>
      <c r="M15" s="725">
        <f>SUMIFS('Vol. Carrières'!$M:$M,'Vol. Carrières'!$B:$B,'Vol. Carrières'!$B$29,'Vol. Carrières'!$D:$D,'Vol. Carrières'!$D$20)</f>
        <v>0</v>
      </c>
      <c r="N15" s="725">
        <f>SUMIFS('Vol. Carrières'!$N:$N,'Vol. Carrières'!$B:$B,'Vol. Carrières'!$B$29,'Vol. Carrières'!$D:$D,'Vol. Carrières'!$D$20)</f>
        <v>0</v>
      </c>
      <c r="O15" s="725">
        <f>SUMIFS('Vol. Carrières'!$O:$O,'Vol. Carrières'!$B:$B,'Vol. Carrières'!$B$29,'Vol. Carrières'!$D:$D,'Vol. Carrières'!$D$20)</f>
        <v>0</v>
      </c>
      <c r="P15" s="725">
        <f>SUMIFS('Vol. Carrières'!$P:$P,'Vol. Carrières'!$B:$B,'Vol. Carrières'!$B$29,'Vol. Carrières'!$D:$D,'Vol. Carrières'!$D$20)</f>
        <v>0</v>
      </c>
      <c r="Q15" s="733">
        <f>SUM(E15:P15)</f>
        <v>37819</v>
      </c>
    </row>
    <row r="16" spans="1:17">
      <c r="A16" s="706" t="s">
        <v>43</v>
      </c>
      <c r="B16" s="711" t="s">
        <v>72</v>
      </c>
      <c r="C16" s="1000"/>
      <c r="D16" s="723" t="s">
        <v>2038</v>
      </c>
      <c r="E16" s="726">
        <f>'[5]Vol. Carrières'!E32</f>
        <v>3355</v>
      </c>
      <c r="F16" s="726">
        <f>'[5]Vol. Carrières'!F32</f>
        <v>23630</v>
      </c>
      <c r="G16" s="726">
        <f>'[5]Vol. Carrières'!G32</f>
        <v>12117</v>
      </c>
      <c r="H16" s="726">
        <f>'[5]Vol. Carrières'!H32</f>
        <v>9779</v>
      </c>
      <c r="I16" s="726">
        <f>'[5]Vol. Carrières'!I32</f>
        <v>4752</v>
      </c>
      <c r="J16" s="726">
        <f>'[5]Vol. Carrières'!J32</f>
        <v>18249</v>
      </c>
      <c r="K16" s="726">
        <f>'[5]Vol. Carrières'!K32</f>
        <v>18786</v>
      </c>
      <c r="L16" s="726">
        <f>'[5]Vol. Carrières'!L32</f>
        <v>23873</v>
      </c>
      <c r="M16" s="726">
        <f>'[5]Vol. Carrières'!M32</f>
        <v>17544</v>
      </c>
      <c r="N16" s="726">
        <f>'[5]Vol. Carrières'!N32</f>
        <v>1478</v>
      </c>
      <c r="O16" s="726">
        <f>'[5]Vol. Carrières'!O32</f>
        <v>4658</v>
      </c>
      <c r="P16" s="726">
        <f>'[5]Vol. Carrières'!P32</f>
        <v>4293</v>
      </c>
      <c r="Q16" s="734">
        <f>SUM(E16:P16)</f>
        <v>142514</v>
      </c>
    </row>
    <row r="17" spans="1:17">
      <c r="A17" s="706" t="s">
        <v>43</v>
      </c>
      <c r="B17" s="711" t="s">
        <v>72</v>
      </c>
      <c r="C17" s="1001" t="s">
        <v>2047</v>
      </c>
      <c r="D17" s="727" t="s">
        <v>2073</v>
      </c>
      <c r="E17" s="728">
        <f>SUMIFS('Vol. Carrières'!$E:$E,'Vol. Carrières'!$B:$B,'Vol. Carrières'!$B$29,'Vol. Carrières'!$D:$D,'Vol. Carrières'!$D$25)</f>
        <v>10650</v>
      </c>
      <c r="F17" s="728">
        <f>SUMIFS('Vol. Carrières'!$F:$F,'Vol. Carrières'!$B:$B,'Vol. Carrières'!$B$29,'Vol. Carrières'!$D:$D,'Vol. Carrières'!$D$25)</f>
        <v>24680</v>
      </c>
      <c r="G17" s="728">
        <f>SUMIFS('Vol. Carrières'!$G:$G,'Vol. Carrières'!$B:$B,'Vol. Carrières'!$B$29,'Vol. Carrières'!$D:$D,'Vol. Carrières'!$D$25)</f>
        <v>37819</v>
      </c>
      <c r="H17" s="728">
        <f>SUMIFS('Vol. Carrières'!$H:$H,'Vol. Carrières'!$B:$B,'Vol. Carrières'!$B$29,'Vol. Carrières'!$D:$D,'Vol. Carrières'!$D$25)</f>
        <v>37819</v>
      </c>
      <c r="I17" s="728">
        <f>SUMIFS('Vol. Carrières'!$I:$I,'Vol. Carrières'!$B:$B,'Vol. Carrières'!$B$29,'Vol. Carrières'!$D:$D,'Vol. Carrières'!$D$25)</f>
        <v>37819</v>
      </c>
      <c r="J17" s="728">
        <f>SUMIFS('Vol. Carrières'!$J:$J,'Vol. Carrières'!$B:$B,'Vol. Carrières'!$B$29,'Vol. Carrières'!$D:$D,'Vol. Carrières'!$D$25)</f>
        <v>37819</v>
      </c>
      <c r="K17" s="728">
        <f>SUMIFS('Vol. Carrières'!$K:$K,'Vol. Carrières'!$B:$B,'Vol. Carrières'!$B$29,'Vol. Carrières'!$D:$D,'Vol. Carrières'!$D$25)</f>
        <v>37819</v>
      </c>
      <c r="L17" s="728">
        <f>SUMIFS('Vol. Carrières'!$L:$L,'Vol. Carrières'!$B:$B,'Vol. Carrières'!$B$29,'Vol. Carrières'!$D:$D,'Vol. Carrières'!$D$25)</f>
        <v>37819</v>
      </c>
      <c r="M17" s="728">
        <f>SUMIFS('Vol. Carrières'!$M:$M,'Vol. Carrières'!$B:$B,'Vol. Carrières'!$B$29,'Vol. Carrières'!$D:$D,'Vol. Carrières'!$D$25)</f>
        <v>37819</v>
      </c>
      <c r="N17" s="728">
        <f>SUMIFS('Vol. Carrières'!$N:$N,'Vol. Carrières'!$B:$B,'Vol. Carrières'!$B$29,'Vol. Carrières'!$D:$D,'Vol. Carrières'!$D$25)</f>
        <v>37819</v>
      </c>
      <c r="O17" s="728">
        <f>SUMIFS('Vol. Carrières'!$O:$O,'Vol. Carrières'!$B:$B,'Vol. Carrières'!$B$29,'Vol. Carrières'!$D:$D,'Vol. Carrières'!$D$25)</f>
        <v>37819</v>
      </c>
      <c r="P17" s="728">
        <f>SUMIFS('Vol. Carrières'!$P:$P,'Vol. Carrières'!$B:$B,'Vol. Carrières'!$B$29,'Vol. Carrières'!$D:$D,'Vol. Carrières'!$D$25)</f>
        <v>37819</v>
      </c>
      <c r="Q17" s="731"/>
    </row>
    <row r="18" spans="1:17" ht="15.75" thickBot="1">
      <c r="A18" s="707" t="s">
        <v>43</v>
      </c>
      <c r="B18" s="712" t="s">
        <v>72</v>
      </c>
      <c r="C18" s="1002"/>
      <c r="D18" s="729" t="s">
        <v>2074</v>
      </c>
      <c r="E18" s="730">
        <f>'[5]Vol. Carrières'!E37</f>
        <v>3355</v>
      </c>
      <c r="F18" s="730">
        <f>'[5]Vol. Carrières'!F37</f>
        <v>26985</v>
      </c>
      <c r="G18" s="730">
        <f>'[5]Vol. Carrières'!G37</f>
        <v>39102</v>
      </c>
      <c r="H18" s="730">
        <f>'[5]Vol. Carrières'!H37</f>
        <v>48881</v>
      </c>
      <c r="I18" s="730">
        <f>'[5]Vol. Carrières'!I37</f>
        <v>53633</v>
      </c>
      <c r="J18" s="730">
        <f>'[5]Vol. Carrières'!J37</f>
        <v>71882</v>
      </c>
      <c r="K18" s="730">
        <f>'[5]Vol. Carrières'!K37</f>
        <v>90668</v>
      </c>
      <c r="L18" s="730">
        <f>'[5]Vol. Carrières'!L37</f>
        <v>114541</v>
      </c>
      <c r="M18" s="730">
        <f>'[5]Vol. Carrières'!M37</f>
        <v>132085</v>
      </c>
      <c r="N18" s="730">
        <f>'[5]Vol. Carrières'!N37</f>
        <v>133563</v>
      </c>
      <c r="O18" s="730">
        <f>'[5]Vol. Carrières'!O37</f>
        <v>138221</v>
      </c>
      <c r="P18" s="730">
        <f>'[5]Vol. Carrières'!P37</f>
        <v>142514</v>
      </c>
      <c r="Q18" s="732"/>
    </row>
    <row r="19" spans="1:17" ht="15.75">
      <c r="A19" s="529" t="s">
        <v>43</v>
      </c>
      <c r="B19" s="710" t="s">
        <v>63</v>
      </c>
      <c r="C19" s="685"/>
      <c r="D19" s="685"/>
      <c r="E19" s="687" t="s">
        <v>29</v>
      </c>
      <c r="F19" s="687" t="s">
        <v>30</v>
      </c>
      <c r="G19" s="687" t="s">
        <v>31</v>
      </c>
      <c r="H19" s="687" t="s">
        <v>32</v>
      </c>
      <c r="I19" s="687" t="s">
        <v>33</v>
      </c>
      <c r="J19" s="687" t="s">
        <v>34</v>
      </c>
      <c r="K19" s="687" t="s">
        <v>35</v>
      </c>
      <c r="L19" s="687" t="s">
        <v>65</v>
      </c>
      <c r="M19" s="687" t="s">
        <v>37</v>
      </c>
      <c r="N19" s="687" t="s">
        <v>38</v>
      </c>
      <c r="O19" s="687" t="s">
        <v>39</v>
      </c>
      <c r="P19" s="687" t="s">
        <v>40</v>
      </c>
      <c r="Q19" s="722" t="s">
        <v>3</v>
      </c>
    </row>
    <row r="20" spans="1:17">
      <c r="A20" s="706" t="s">
        <v>43</v>
      </c>
      <c r="B20" s="711" t="s">
        <v>63</v>
      </c>
      <c r="C20" s="1000" t="s">
        <v>2024</v>
      </c>
      <c r="D20" s="723" t="s">
        <v>2018</v>
      </c>
      <c r="E20" s="724">
        <f>SUMIFS('Vol. Carrières'!$E:$E,'Vol. Carrières'!$B:$B,'Vol. Carrières'!$B$41,'Vol. Carrières'!$D:$D,'Vol. Carrières'!$D$8)</f>
        <v>480</v>
      </c>
      <c r="F20" s="725">
        <f>SUMIFS('Vol. Carrières'!$F:$F,'Vol. Carrières'!$B:$B,'Vol. Carrières'!$B$41,'Vol. Carrières'!$D:$D,'Vol. Carrières'!$D$8)</f>
        <v>256</v>
      </c>
      <c r="G20" s="725">
        <f>SUMIFS('Vol. Carrières'!$G:$G,'Vol. Carrières'!$B:$B,'Vol. Carrières'!$B$41,'Vol. Carrières'!$D:$D,'Vol. Carrières'!$D$8)</f>
        <v>458</v>
      </c>
      <c r="H20" s="725">
        <f>SUMIFS('Vol. Carrières'!$H:$H,'Vol. Carrières'!$B:$B,'Vol. Carrières'!$B$41,'Vol. Carrières'!$D:$D,'Vol. Carrières'!$D$8)</f>
        <v>0</v>
      </c>
      <c r="I20" s="725">
        <f>SUMIFS('Vol. Carrières'!$I:$I,'Vol. Carrières'!$B:$B,'Vol. Carrières'!$B$41,'Vol. Carrières'!$D:$D,'Vol. Carrières'!$D$8)</f>
        <v>0</v>
      </c>
      <c r="J20" s="725">
        <f>SUMIFS('Vol. Carrières'!$J:$J,'Vol. Carrières'!$B:$B,'Vol. Carrières'!$B$41,'Vol. Carrières'!$D:$D,'Vol. Carrières'!$D$8)</f>
        <v>0</v>
      </c>
      <c r="K20" s="725">
        <f>SUMIFS('Vol. Carrières'!$K:$K,'Vol. Carrières'!$B:$B,'Vol. Carrières'!$B$41,'Vol. Carrières'!$D:$D,'Vol. Carrières'!$D$8)</f>
        <v>0</v>
      </c>
      <c r="L20" s="725">
        <f>SUMIFS('Vol. Carrières'!$L:$L,'Vol. Carrières'!$B:$B,'Vol. Carrières'!$B$41,'Vol. Carrières'!$D:$D,'Vol. Carrières'!$D$8)</f>
        <v>0</v>
      </c>
      <c r="M20" s="725">
        <f>SUMIFS('Vol. Carrières'!$M:$M,'Vol. Carrières'!$B:$B,'Vol. Carrières'!$B$41,'Vol. Carrières'!$D:$D,'Vol. Carrières'!$D$8)</f>
        <v>0</v>
      </c>
      <c r="N20" s="725">
        <f>SUMIFS('Vol. Carrières'!$N:$N,'Vol. Carrières'!$B:$B,'Vol. Carrières'!$B$41,'Vol. Carrières'!$D:$D,'Vol. Carrières'!$D$8)</f>
        <v>0</v>
      </c>
      <c r="O20" s="725">
        <f>SUMIFS('Vol. Carrières'!$O:$O,'Vol. Carrières'!$B:$B,'Vol. Carrières'!$B$41,'Vol. Carrières'!$D:$D,'Vol. Carrières'!$D$8)</f>
        <v>0</v>
      </c>
      <c r="P20" s="725">
        <f>SUMIFS('Vol. Carrières'!$P:$P,'Vol. Carrières'!$B:$B,'Vol. Carrières'!$B$41,'Vol. Carrières'!$D:$D,'Vol. Carrières'!$D$8)</f>
        <v>0</v>
      </c>
      <c r="Q20" s="733">
        <f>SUM(E20:P20)</f>
        <v>1194</v>
      </c>
    </row>
    <row r="21" spans="1:17">
      <c r="A21" s="706" t="s">
        <v>43</v>
      </c>
      <c r="B21" s="711" t="s">
        <v>63</v>
      </c>
      <c r="C21" s="1000"/>
      <c r="D21" s="723" t="s">
        <v>2038</v>
      </c>
      <c r="E21" s="726">
        <f>'[5]Vol. Carrières'!E44</f>
        <v>2390</v>
      </c>
      <c r="F21" s="726">
        <f>'[5]Vol. Carrières'!F44</f>
        <v>1889</v>
      </c>
      <c r="G21" s="726">
        <f>'[5]Vol. Carrières'!G44</f>
        <v>9570</v>
      </c>
      <c r="H21" s="726">
        <f>'[5]Vol. Carrières'!H44</f>
        <v>2092</v>
      </c>
      <c r="I21" s="726">
        <f>'[5]Vol. Carrières'!I44</f>
        <v>0</v>
      </c>
      <c r="J21" s="726">
        <f>'[5]Vol. Carrières'!J44</f>
        <v>0</v>
      </c>
      <c r="K21" s="726">
        <f>'[5]Vol. Carrières'!K44</f>
        <v>1105</v>
      </c>
      <c r="L21" s="726">
        <f>'[5]Vol. Carrières'!L44</f>
        <v>0</v>
      </c>
      <c r="M21" s="726">
        <f>'[5]Vol. Carrières'!M44</f>
        <v>711</v>
      </c>
      <c r="N21" s="726">
        <f>'[5]Vol. Carrières'!N44</f>
        <v>0</v>
      </c>
      <c r="O21" s="726">
        <f>'[5]Vol. Carrières'!O44</f>
        <v>0</v>
      </c>
      <c r="P21" s="726">
        <f>'[5]Vol. Carrières'!P44</f>
        <v>0</v>
      </c>
      <c r="Q21" s="734">
        <f>SUM(E21:P21)</f>
        <v>17757</v>
      </c>
    </row>
    <row r="22" spans="1:17">
      <c r="A22" s="706" t="s">
        <v>43</v>
      </c>
      <c r="B22" s="711" t="s">
        <v>63</v>
      </c>
      <c r="C22" s="1001" t="s">
        <v>2047</v>
      </c>
      <c r="D22" s="727" t="s">
        <v>2073</v>
      </c>
      <c r="E22" s="728">
        <f>SUMIFS('Vol. Carrières'!$E:$E,'Vol. Carrières'!$B:$B,'Vol. Carrières'!$B$41,'Vol. Carrières'!$D:$D,'Vol. Carrières'!$D$37)</f>
        <v>480</v>
      </c>
      <c r="F22" s="728">
        <f>SUMIFS('Vol. Carrières'!$F:$F,'Vol. Carrières'!$B:$B,'Vol. Carrières'!$B$41,'Vol. Carrières'!$D:$D,'Vol. Carrières'!$D$37)</f>
        <v>736</v>
      </c>
      <c r="G22" s="728">
        <f>SUMIFS('Vol. Carrières'!$G:$G,'Vol. Carrières'!$B:$B,'Vol. Carrières'!$B$41,'Vol. Carrières'!$D:$D,'Vol. Carrières'!$D$37)</f>
        <v>1194</v>
      </c>
      <c r="H22" s="728">
        <f>SUMIFS('Vol. Carrières'!$H:$H,'Vol. Carrières'!$B:$B,'Vol. Carrières'!$B$41,'Vol. Carrières'!$D:$D,'Vol. Carrières'!$D$37)</f>
        <v>1194</v>
      </c>
      <c r="I22" s="728">
        <f>SUMIFS('Vol. Carrières'!$I:$I,'Vol. Carrières'!$B:$B,'Vol. Carrières'!$B$41,'Vol. Carrières'!$D:$D,'Vol. Carrières'!$D$37)</f>
        <v>1194</v>
      </c>
      <c r="J22" s="728">
        <f>SUMIFS('Vol. Carrières'!$J:$J,'Vol. Carrières'!$B:$B,'Vol. Carrières'!$B$41,'Vol. Carrières'!$D:$D,'Vol. Carrières'!$D$37)</f>
        <v>1194</v>
      </c>
      <c r="K22" s="728">
        <f>SUMIFS('Vol. Carrières'!$K:$K,'Vol. Carrières'!$B:$B,'Vol. Carrières'!$B$41,'Vol. Carrières'!$D:$D,'Vol. Carrières'!$D$37)</f>
        <v>1194</v>
      </c>
      <c r="L22" s="728">
        <f>SUMIFS('Vol. Carrières'!$L:$L,'Vol. Carrières'!$B:$B,'Vol. Carrières'!$B$41,'Vol. Carrières'!$D:$D,'Vol. Carrières'!$D$37)</f>
        <v>1194</v>
      </c>
      <c r="M22" s="728">
        <f>SUMIFS('Vol. Carrières'!$M:$M,'Vol. Carrières'!$B:$B,'Vol. Carrières'!$B$41,'Vol. Carrières'!$D:$D,'Vol. Carrières'!$D$37)</f>
        <v>1194</v>
      </c>
      <c r="N22" s="728">
        <f>SUMIFS('Vol. Carrières'!$N:$N,'Vol. Carrières'!$B:$B,'Vol. Carrières'!$B$41,'Vol. Carrières'!$D:$D,'Vol. Carrières'!$D$37)</f>
        <v>1194</v>
      </c>
      <c r="O22" s="728">
        <f>SUMIFS('Vol. Carrières'!$O:$O,'Vol. Carrières'!$B:$B,'Vol. Carrières'!$B$41,'Vol. Carrières'!$D:$D,'Vol. Carrières'!$D$37)</f>
        <v>1194</v>
      </c>
      <c r="P22" s="728">
        <f>SUMIFS('Vol. Carrières'!$P:$P,'Vol. Carrières'!$B:$B,'Vol. Carrières'!$B$41,'Vol. Carrières'!$D:$D,'Vol. Carrières'!$D$37)</f>
        <v>1194</v>
      </c>
      <c r="Q22" s="731"/>
    </row>
    <row r="23" spans="1:17" ht="15.75" thickBot="1">
      <c r="A23" s="707" t="s">
        <v>43</v>
      </c>
      <c r="B23" s="712" t="s">
        <v>63</v>
      </c>
      <c r="C23" s="1002"/>
      <c r="D23" s="729" t="s">
        <v>2074</v>
      </c>
      <c r="E23" s="730">
        <f>'[5]Vol. Carrières'!E49</f>
        <v>2390</v>
      </c>
      <c r="F23" s="730">
        <f>'[5]Vol. Carrières'!F49</f>
        <v>4279</v>
      </c>
      <c r="G23" s="730">
        <f>'[5]Vol. Carrières'!G49</f>
        <v>13849</v>
      </c>
      <c r="H23" s="730">
        <f>'[5]Vol. Carrières'!H49</f>
        <v>15941</v>
      </c>
      <c r="I23" s="730">
        <f>'[5]Vol. Carrières'!I49</f>
        <v>15941</v>
      </c>
      <c r="J23" s="730">
        <f>'[5]Vol. Carrières'!J49</f>
        <v>15941</v>
      </c>
      <c r="K23" s="730">
        <f>'[5]Vol. Carrières'!K49</f>
        <v>17046</v>
      </c>
      <c r="L23" s="730">
        <f>'[5]Vol. Carrières'!L49</f>
        <v>17046</v>
      </c>
      <c r="M23" s="730">
        <f>'[5]Vol. Carrières'!M49</f>
        <v>17757</v>
      </c>
      <c r="N23" s="730">
        <f>'[5]Vol. Carrières'!N49</f>
        <v>17757</v>
      </c>
      <c r="O23" s="730">
        <f>'[5]Vol. Carrières'!O49</f>
        <v>17757</v>
      </c>
      <c r="P23" s="730">
        <f>'[5]Vol. Carrières'!P49</f>
        <v>17757</v>
      </c>
      <c r="Q23" s="732"/>
    </row>
    <row r="24" spans="1:17" ht="15.75">
      <c r="A24" s="529" t="s">
        <v>43</v>
      </c>
      <c r="B24" s="710" t="s">
        <v>62</v>
      </c>
      <c r="C24" s="685"/>
      <c r="D24" s="685"/>
      <c r="E24" s="687" t="s">
        <v>29</v>
      </c>
      <c r="F24" s="687" t="s">
        <v>30</v>
      </c>
      <c r="G24" s="687" t="s">
        <v>31</v>
      </c>
      <c r="H24" s="687" t="s">
        <v>32</v>
      </c>
      <c r="I24" s="687" t="s">
        <v>33</v>
      </c>
      <c r="J24" s="687" t="s">
        <v>34</v>
      </c>
      <c r="K24" s="687" t="s">
        <v>35</v>
      </c>
      <c r="L24" s="687" t="s">
        <v>65</v>
      </c>
      <c r="M24" s="687" t="s">
        <v>37</v>
      </c>
      <c r="N24" s="687" t="s">
        <v>38</v>
      </c>
      <c r="O24" s="687" t="s">
        <v>39</v>
      </c>
      <c r="P24" s="687" t="s">
        <v>40</v>
      </c>
      <c r="Q24" s="722" t="s">
        <v>3</v>
      </c>
    </row>
    <row r="25" spans="1:17">
      <c r="A25" s="706" t="s">
        <v>43</v>
      </c>
      <c r="B25" s="711" t="s">
        <v>2039</v>
      </c>
      <c r="C25" s="1000" t="s">
        <v>2024</v>
      </c>
      <c r="D25" s="723" t="s">
        <v>2018</v>
      </c>
      <c r="E25" s="724">
        <f>SUMIFS('Vol. Carrières'!$E:$E,'Vol. Carrières'!$B:$B,'Vol. Carrières'!$B$53,'Vol. Carrières'!$D:$D,'Vol. Carrières'!$D$8)</f>
        <v>10719</v>
      </c>
      <c r="F25" s="725">
        <f>SUMIFS('Vol. Carrières'!$F:$F,'Vol. Carrières'!$B:$B,'Vol. Carrières'!$B$53,'Vol. Carrières'!$D:$D,'Vol. Carrières'!$D$8)</f>
        <v>4496</v>
      </c>
      <c r="G25" s="725">
        <f>SUMIFS('Vol. Carrières'!$G:$G,'Vol. Carrières'!$B:$B,'Vol. Carrières'!$B$53,'Vol. Carrières'!$D:$D,'Vol. Carrières'!$D$8)</f>
        <v>11598</v>
      </c>
      <c r="H25" s="725">
        <f>SUMIFS('Vol. Carrières'!$H:$H,'Vol. Carrières'!$B:$B,'Vol. Carrières'!$B$53,'Vol. Carrières'!$D:$D,'Vol. Carrières'!$D$8)</f>
        <v>0</v>
      </c>
      <c r="I25" s="725">
        <f>SUMIFS('Vol. Carrières'!$I:$I,'Vol. Carrières'!$B:$B,'Vol. Carrières'!$B$53,'Vol. Carrières'!$D:$D,'Vol. Carrières'!$D$8)</f>
        <v>0</v>
      </c>
      <c r="J25" s="725">
        <f>SUMIFS('Vol. Carrières'!$J:$J,'Vol. Carrières'!$B:$B,'Vol. Carrières'!$B$53,'Vol. Carrières'!$D:$D,'Vol. Carrières'!$D$8)</f>
        <v>0</v>
      </c>
      <c r="K25" s="725">
        <f>SUMIFS('Vol. Carrières'!$K:$K,'Vol. Carrières'!$B:$B,'Vol. Carrières'!$B$53,'Vol. Carrières'!$D:$D,'Vol. Carrières'!$D$8)</f>
        <v>0</v>
      </c>
      <c r="L25" s="725">
        <f>SUMIFS('Vol. Carrières'!$L:$L,'Vol. Carrières'!$B:$B,'Vol. Carrières'!$B$53,'Vol. Carrières'!$D:$D,'Vol. Carrières'!$D$8)</f>
        <v>0</v>
      </c>
      <c r="M25" s="725">
        <f>SUMIFS('Vol. Carrières'!$M:$M,'Vol. Carrières'!$B:$B,'Vol. Carrières'!$B$53,'Vol. Carrières'!$D:$D,'Vol. Carrières'!$D$8)</f>
        <v>0</v>
      </c>
      <c r="N25" s="725">
        <f>SUMIFS('Vol. Carrières'!$N:$N,'Vol. Carrières'!$B:$B,'Vol. Carrières'!$B$53,'Vol. Carrières'!$D:$D,'Vol. Carrières'!$D$8)</f>
        <v>0</v>
      </c>
      <c r="O25" s="725">
        <f>SUMIFS('Vol. Carrières'!$O:$O,'Vol. Carrières'!$B:$B,'Vol. Carrières'!$B$53,'Vol. Carrières'!$D:$D,'Vol. Carrières'!$D$8)</f>
        <v>0</v>
      </c>
      <c r="P25" s="725">
        <f>SUMIFS('Vol. Carrières'!$P:$P,'Vol. Carrières'!$B:$B,'Vol. Carrières'!$B$53,'Vol. Carrières'!$D:$D,'Vol. Carrières'!$D$8)</f>
        <v>0</v>
      </c>
      <c r="Q25" s="733">
        <f>SUM(E25:P25)</f>
        <v>26813</v>
      </c>
    </row>
    <row r="26" spans="1:17">
      <c r="A26" s="706" t="s">
        <v>43</v>
      </c>
      <c r="B26" s="711" t="s">
        <v>2039</v>
      </c>
      <c r="C26" s="1000"/>
      <c r="D26" s="723" t="s">
        <v>2038</v>
      </c>
      <c r="E26" s="726">
        <f>'[5]Vol. Carrières'!E56</f>
        <v>6548</v>
      </c>
      <c r="F26" s="726">
        <f>'[5]Vol. Carrières'!F56</f>
        <v>8201</v>
      </c>
      <c r="G26" s="726">
        <f>'[5]Vol. Carrières'!G56</f>
        <v>7255</v>
      </c>
      <c r="H26" s="726">
        <f>'[5]Vol. Carrières'!H56</f>
        <v>7605</v>
      </c>
      <c r="I26" s="726">
        <f>'[5]Vol. Carrières'!I56</f>
        <v>805</v>
      </c>
      <c r="J26" s="726">
        <f>'[5]Vol. Carrières'!J56</f>
        <v>4400</v>
      </c>
      <c r="K26" s="726">
        <f>'[5]Vol. Carrières'!K56</f>
        <v>3926</v>
      </c>
      <c r="L26" s="726">
        <f>'[5]Vol. Carrières'!L56</f>
        <v>1339</v>
      </c>
      <c r="M26" s="726">
        <f>'[5]Vol. Carrières'!M56</f>
        <v>7340</v>
      </c>
      <c r="N26" s="726">
        <f>'[5]Vol. Carrières'!N56</f>
        <v>9411</v>
      </c>
      <c r="O26" s="726">
        <f>'[5]Vol. Carrières'!O56</f>
        <v>7925</v>
      </c>
      <c r="P26" s="726">
        <f>'[5]Vol. Carrières'!P56</f>
        <v>6072</v>
      </c>
      <c r="Q26" s="734">
        <f>SUM(E26:P26)</f>
        <v>70827</v>
      </c>
    </row>
    <row r="27" spans="1:17">
      <c r="A27" s="706" t="s">
        <v>43</v>
      </c>
      <c r="B27" s="711" t="s">
        <v>2039</v>
      </c>
      <c r="C27" s="1001" t="s">
        <v>2047</v>
      </c>
      <c r="D27" s="727" t="s">
        <v>2073</v>
      </c>
      <c r="E27" s="728">
        <f>SUMIFS('Vol. Carrières'!$E:$E,'Vol. Carrières'!$B:$B,'Vol. Carrières'!$B$53,'Vol. Carrières'!$D:$D,'Vol. Carrières'!$D$37)</f>
        <v>10719</v>
      </c>
      <c r="F27" s="728">
        <f>SUMIFS('Vol. Carrières'!$F:$F,'Vol. Carrières'!$B:$B,'Vol. Carrières'!$B$53,'Vol. Carrières'!$D:$D,'Vol. Carrières'!$D$37)</f>
        <v>15215</v>
      </c>
      <c r="G27" s="728">
        <f>SUMIFS('Vol. Carrières'!$G:$G,'Vol. Carrières'!$B:$B,'Vol. Carrières'!$B$53,'Vol. Carrières'!$D:$D,'Vol. Carrières'!$D$37)</f>
        <v>26813</v>
      </c>
      <c r="H27" s="728">
        <f>SUMIFS('Vol. Carrières'!$H:$H,'Vol. Carrières'!$B:$B,'Vol. Carrières'!$B$53,'Vol. Carrières'!$D:$D,'Vol. Carrières'!$D$37)</f>
        <v>26813</v>
      </c>
      <c r="I27" s="728">
        <f>SUMIFS('Vol. Carrières'!$I:$I,'Vol. Carrières'!$B:$B,'Vol. Carrières'!$B$53,'Vol. Carrières'!$D:$D,'Vol. Carrières'!$D$37)</f>
        <v>26813</v>
      </c>
      <c r="J27" s="728">
        <f>SUMIFS('Vol. Carrières'!$J:$J,'Vol. Carrières'!$B:$B,'Vol. Carrières'!$B$53,'Vol. Carrières'!$D:$D,'Vol. Carrières'!$D$37)</f>
        <v>26813</v>
      </c>
      <c r="K27" s="728">
        <f>SUMIFS('Vol. Carrières'!$K:$K,'Vol. Carrières'!$B:$B,'Vol. Carrières'!$B$53,'Vol. Carrières'!$D:$D,'Vol. Carrières'!$D$37)</f>
        <v>26813</v>
      </c>
      <c r="L27" s="728">
        <f>SUMIFS('Vol. Carrières'!$L:$L,'Vol. Carrières'!$B:$B,'Vol. Carrières'!$B$53,'Vol. Carrières'!$D:$D,'Vol. Carrières'!$D$37)</f>
        <v>26813</v>
      </c>
      <c r="M27" s="728">
        <f>SUMIFS('Vol. Carrières'!$M:$M,'Vol. Carrières'!$B:$B,'Vol. Carrières'!$B$53,'Vol. Carrières'!$D:$D,'Vol. Carrières'!$D$37)</f>
        <v>26813</v>
      </c>
      <c r="N27" s="728">
        <f>SUMIFS('Vol. Carrières'!$N:$N,'Vol. Carrières'!$B:$B,'Vol. Carrières'!$B$53,'Vol. Carrières'!$D:$D,'Vol. Carrières'!$D$37)</f>
        <v>26813</v>
      </c>
      <c r="O27" s="728">
        <f>SUMIFS('Vol. Carrières'!$O:$O,'Vol. Carrières'!$B:$B,'Vol. Carrières'!$B$53,'Vol. Carrières'!$D:$D,'Vol. Carrières'!$D$37)</f>
        <v>26813</v>
      </c>
      <c r="P27" s="728">
        <f>SUMIFS('Vol. Carrières'!$P:$P,'Vol. Carrières'!$B:$B,'Vol. Carrières'!$B$53,'Vol. Carrières'!$D:$D,'Vol. Carrières'!$D$37)</f>
        <v>26813</v>
      </c>
      <c r="Q27" s="731"/>
    </row>
    <row r="28" spans="1:17" ht="15.75" thickBot="1">
      <c r="A28" s="707" t="s">
        <v>43</v>
      </c>
      <c r="B28" s="712" t="s">
        <v>2039</v>
      </c>
      <c r="C28" s="1002"/>
      <c r="D28" s="729" t="s">
        <v>2074</v>
      </c>
      <c r="E28" s="730">
        <f>'[5]Vol. Carrières'!E61</f>
        <v>6548</v>
      </c>
      <c r="F28" s="730">
        <f>'[5]Vol. Carrières'!F61</f>
        <v>14749</v>
      </c>
      <c r="G28" s="730">
        <f>'[5]Vol. Carrières'!G61</f>
        <v>22004</v>
      </c>
      <c r="H28" s="730">
        <f>'[5]Vol. Carrières'!H61</f>
        <v>29609</v>
      </c>
      <c r="I28" s="730">
        <f>'[5]Vol. Carrières'!I61</f>
        <v>30414</v>
      </c>
      <c r="J28" s="730">
        <f>'[5]Vol. Carrières'!J61</f>
        <v>34814</v>
      </c>
      <c r="K28" s="730">
        <f>'[5]Vol. Carrières'!K61</f>
        <v>38740</v>
      </c>
      <c r="L28" s="730">
        <f>'[5]Vol. Carrières'!L61</f>
        <v>40079</v>
      </c>
      <c r="M28" s="730">
        <f>'[5]Vol. Carrières'!M61</f>
        <v>47419</v>
      </c>
      <c r="N28" s="730">
        <f>'[5]Vol. Carrières'!N61</f>
        <v>56830</v>
      </c>
      <c r="O28" s="730">
        <f>'[5]Vol. Carrières'!O61</f>
        <v>64755</v>
      </c>
      <c r="P28" s="730">
        <f>'[5]Vol. Carrières'!P61</f>
        <v>70827</v>
      </c>
      <c r="Q28" s="732"/>
    </row>
    <row r="29" spans="1:17" ht="15.75">
      <c r="A29" s="529" t="s">
        <v>43</v>
      </c>
      <c r="B29" s="710" t="s">
        <v>61</v>
      </c>
      <c r="C29" s="685"/>
      <c r="D29" s="685"/>
      <c r="E29" s="687" t="s">
        <v>29</v>
      </c>
      <c r="F29" s="687" t="s">
        <v>30</v>
      </c>
      <c r="G29" s="687" t="s">
        <v>31</v>
      </c>
      <c r="H29" s="687" t="s">
        <v>32</v>
      </c>
      <c r="I29" s="687" t="s">
        <v>33</v>
      </c>
      <c r="J29" s="687" t="s">
        <v>34</v>
      </c>
      <c r="K29" s="687" t="s">
        <v>35</v>
      </c>
      <c r="L29" s="687" t="s">
        <v>65</v>
      </c>
      <c r="M29" s="687" t="s">
        <v>37</v>
      </c>
      <c r="N29" s="687" t="s">
        <v>38</v>
      </c>
      <c r="O29" s="687" t="s">
        <v>39</v>
      </c>
      <c r="P29" s="687" t="s">
        <v>40</v>
      </c>
      <c r="Q29" s="722" t="s">
        <v>3</v>
      </c>
    </row>
    <row r="30" spans="1:17">
      <c r="A30" s="706" t="s">
        <v>43</v>
      </c>
      <c r="B30" s="711" t="s">
        <v>61</v>
      </c>
      <c r="C30" s="1000" t="s">
        <v>2024</v>
      </c>
      <c r="D30" s="723" t="s">
        <v>2018</v>
      </c>
      <c r="E30" s="724">
        <f>SUMIFS('Vol. Carrières'!$E:$E,'Vol. Carrières'!$B:$B,'Vol. Carrières'!$B$65,'Vol. Carrières'!$D:$D,'Vol. Carrières'!$D$8)</f>
        <v>2374</v>
      </c>
      <c r="F30" s="725">
        <f>SUMIFS('Vol. Carrières'!$F:$F,'Vol. Carrières'!$B:$B,'Vol. Carrières'!$B$65,'Vol. Carrières'!$D:$D,'Vol. Carrières'!$D$8)</f>
        <v>4337</v>
      </c>
      <c r="G30" s="725">
        <f>SUMIFS('Vol. Carrières'!$G:$G,'Vol. Carrières'!$B:$B,'Vol. Carrières'!$B$65,'Vol. Carrières'!$D:$D,'Vol. Carrières'!$D$8)</f>
        <v>603</v>
      </c>
      <c r="H30" s="725">
        <f>SUMIFS('Vol. Carrières'!$H:$H,'Vol. Carrières'!$B:$B,'Vol. Carrières'!$B$65,'Vol. Carrières'!$D:$D,'Vol. Carrières'!$D$8)</f>
        <v>0</v>
      </c>
      <c r="I30" s="725">
        <f>SUMIFS('Vol. Carrières'!$I:$I,'Vol. Carrières'!$B:$B,'Vol. Carrières'!$B$65,'Vol. Carrières'!$D:$D,'Vol. Carrières'!$D$8)</f>
        <v>0</v>
      </c>
      <c r="J30" s="725">
        <f>SUMIFS('Vol. Carrières'!$J:$J,'Vol. Carrières'!$B:$B,'Vol. Carrières'!$B$65,'Vol. Carrières'!$D:$D,'Vol. Carrières'!$D$8)</f>
        <v>0</v>
      </c>
      <c r="K30" s="725">
        <f>SUMIFS('Vol. Carrières'!$K:$K,'Vol. Carrières'!$B:$B,'Vol. Carrières'!$B$65,'Vol. Carrières'!$D:$D,'Vol. Carrières'!$D$8)</f>
        <v>0</v>
      </c>
      <c r="L30" s="725">
        <f>SUMIFS('Vol. Carrières'!$L:$L,'Vol. Carrières'!$B:$B,'Vol. Carrières'!$B$65,'Vol. Carrières'!$D:$D,'Vol. Carrières'!$D$8)</f>
        <v>0</v>
      </c>
      <c r="M30" s="725">
        <f>SUMIFS('Vol. Carrières'!$M:$M,'Vol. Carrières'!$B:$B,'Vol. Carrières'!$B$65,'Vol. Carrières'!$D:$D,'Vol. Carrières'!$D$8)</f>
        <v>0</v>
      </c>
      <c r="N30" s="725">
        <f>SUMIFS('Vol. Carrières'!$N:$N,'Vol. Carrières'!$B:$B,'Vol. Carrières'!$B$65,'Vol. Carrières'!$D:$D,'Vol. Carrières'!$D$8)</f>
        <v>0</v>
      </c>
      <c r="O30" s="725">
        <f>SUMIFS('Vol. Carrières'!$O:$O,'Vol. Carrières'!$B:$B,'Vol. Carrières'!$B$65,'Vol. Carrières'!$D:$D,'Vol. Carrières'!$D$8)</f>
        <v>0</v>
      </c>
      <c r="P30" s="725">
        <f>SUMIFS('Vol. Carrières'!$P:$P,'Vol. Carrières'!$B:$B,'Vol. Carrières'!$B$65,'Vol. Carrières'!$D:$D,'Vol. Carrières'!$D$8)</f>
        <v>0</v>
      </c>
      <c r="Q30" s="733">
        <f>SUM(E30:P30)</f>
        <v>7314</v>
      </c>
    </row>
    <row r="31" spans="1:17">
      <c r="A31" s="706" t="s">
        <v>43</v>
      </c>
      <c r="B31" s="711" t="s">
        <v>61</v>
      </c>
      <c r="C31" s="1000"/>
      <c r="D31" s="723" t="s">
        <v>2038</v>
      </c>
      <c r="E31" s="726">
        <f>'[5]Vol. Carrières'!E68</f>
        <v>0</v>
      </c>
      <c r="F31" s="726">
        <f>'[5]Vol. Carrières'!F68</f>
        <v>0</v>
      </c>
      <c r="G31" s="726">
        <f>'[5]Vol. Carrières'!G68</f>
        <v>3462</v>
      </c>
      <c r="H31" s="726">
        <f>'[5]Vol. Carrières'!H68</f>
        <v>10158</v>
      </c>
      <c r="I31" s="726">
        <f>'[5]Vol. Carrières'!I68</f>
        <v>7209</v>
      </c>
      <c r="J31" s="726">
        <f>'[5]Vol. Carrières'!J68</f>
        <v>9580</v>
      </c>
      <c r="K31" s="726">
        <f>'[5]Vol. Carrières'!K68</f>
        <v>2077</v>
      </c>
      <c r="L31" s="726">
        <f>'[5]Vol. Carrières'!L68</f>
        <v>0</v>
      </c>
      <c r="M31" s="726">
        <f>'[5]Vol. Carrières'!M68</f>
        <v>0</v>
      </c>
      <c r="N31" s="726">
        <f>'[5]Vol. Carrières'!N68</f>
        <v>5348</v>
      </c>
      <c r="O31" s="726">
        <f>'[5]Vol. Carrières'!O68</f>
        <v>8662</v>
      </c>
      <c r="P31" s="726">
        <f>'[5]Vol. Carrières'!P68</f>
        <v>2032</v>
      </c>
      <c r="Q31" s="734">
        <f>SUM(E31:P31)</f>
        <v>48528</v>
      </c>
    </row>
    <row r="32" spans="1:17">
      <c r="A32" s="706" t="s">
        <v>43</v>
      </c>
      <c r="B32" s="711" t="s">
        <v>61</v>
      </c>
      <c r="C32" s="1001" t="s">
        <v>2047</v>
      </c>
      <c r="D32" s="727" t="s">
        <v>2073</v>
      </c>
      <c r="E32" s="728">
        <f>SUMIFS('Vol. Carrières'!$E:$E,'Vol. Carrières'!$B:$B,'Vol. Carrières'!$B$65,'Vol. Carrières'!$D:$D,'Vol. Carrières'!$D$25)</f>
        <v>2374</v>
      </c>
      <c r="F32" s="728">
        <f>SUMIFS('Vol. Carrières'!$F:$F,'Vol. Carrières'!$B:$B,'Vol. Carrières'!$B$65,'Vol. Carrières'!$D:$D,'Vol. Carrières'!$D$37)</f>
        <v>6711</v>
      </c>
      <c r="G32" s="728">
        <f>SUMIFS('Vol. Carrières'!$G:$G,'Vol. Carrières'!$B:$B,'Vol. Carrières'!$B$65,'Vol. Carrières'!$D:$D,'Vol. Carrières'!$D$37)</f>
        <v>7314</v>
      </c>
      <c r="H32" s="728">
        <f>SUMIFS('Vol. Carrières'!$H:$H,'Vol. Carrières'!$B:$B,'Vol. Carrières'!$B$65,'Vol. Carrières'!$D:$D,'Vol. Carrières'!$D$37)</f>
        <v>7314</v>
      </c>
      <c r="I32" s="728">
        <f>SUMIFS('Vol. Carrières'!$I:$I,'Vol. Carrières'!$B:$B,'Vol. Carrières'!$B$65,'Vol. Carrières'!$D:$D,'Vol. Carrières'!$D$37)</f>
        <v>7314</v>
      </c>
      <c r="J32" s="728">
        <f>SUMIFS('Vol. Carrières'!$J:$J,'Vol. Carrières'!$B:$B,'Vol. Carrières'!$B$65,'Vol. Carrières'!$D:$D,'Vol. Carrières'!$D$37)</f>
        <v>7314</v>
      </c>
      <c r="K32" s="728">
        <f>SUMIFS('Vol. Carrières'!$K:$K,'Vol. Carrières'!$B:$B,'Vol. Carrières'!$B$65,'Vol. Carrières'!$D:$D,'Vol. Carrières'!$D$37)</f>
        <v>7314</v>
      </c>
      <c r="L32" s="728">
        <f>SUMIFS('Vol. Carrières'!$L:$L,'Vol. Carrières'!$B:$B,'Vol. Carrières'!$B$65,'Vol. Carrières'!$D:$D,'Vol. Carrières'!$D$37)</f>
        <v>7314</v>
      </c>
      <c r="M32" s="728">
        <f>SUMIFS('Vol. Carrières'!$M:$M,'Vol. Carrières'!$B:$B,'Vol. Carrières'!$B$65,'Vol. Carrières'!$D:$D,'Vol. Carrières'!$D$37)</f>
        <v>7314</v>
      </c>
      <c r="N32" s="728">
        <f>SUMIFS('Vol. Carrières'!$N:$N,'Vol. Carrières'!$B:$B,'Vol. Carrières'!$B$65,'Vol. Carrières'!$D:$D,'Vol. Carrières'!$D$37)</f>
        <v>7314</v>
      </c>
      <c r="O32" s="728">
        <f>SUMIFS('Vol. Carrières'!$O:$O,'Vol. Carrières'!$B:$B,'Vol. Carrières'!$B$65,'Vol. Carrières'!$D:$D,'Vol. Carrières'!$D$37)</f>
        <v>7314</v>
      </c>
      <c r="P32" s="728">
        <f>SUMIFS('Vol. Carrières'!$P:$P,'Vol. Carrières'!$B:$B,'Vol. Carrières'!$B$65,'Vol. Carrières'!$D:$D,'Vol. Carrières'!$D$37)</f>
        <v>7314</v>
      </c>
      <c r="Q32" s="731"/>
    </row>
    <row r="33" spans="1:17" ht="15.75" thickBot="1">
      <c r="A33" s="707" t="s">
        <v>43</v>
      </c>
      <c r="B33" s="712" t="s">
        <v>61</v>
      </c>
      <c r="C33" s="1002"/>
      <c r="D33" s="729" t="s">
        <v>2074</v>
      </c>
      <c r="E33" s="730">
        <f>'[5]Vol. Carrières'!E73</f>
        <v>0</v>
      </c>
      <c r="F33" s="730">
        <f>'[5]Vol. Carrières'!F73</f>
        <v>0</v>
      </c>
      <c r="G33" s="730">
        <f>'[5]Vol. Carrières'!G73</f>
        <v>3462</v>
      </c>
      <c r="H33" s="730">
        <f>'[5]Vol. Carrières'!H73</f>
        <v>13620</v>
      </c>
      <c r="I33" s="730">
        <f>'[5]Vol. Carrières'!I73</f>
        <v>20829</v>
      </c>
      <c r="J33" s="730">
        <f>'[5]Vol. Carrières'!J73</f>
        <v>30409</v>
      </c>
      <c r="K33" s="730">
        <f>'[5]Vol. Carrières'!K73</f>
        <v>32486</v>
      </c>
      <c r="L33" s="730">
        <f>'[5]Vol. Carrières'!L73</f>
        <v>32486</v>
      </c>
      <c r="M33" s="730">
        <f>'[5]Vol. Carrières'!M73</f>
        <v>32486</v>
      </c>
      <c r="N33" s="730">
        <f>'[5]Vol. Carrières'!N73</f>
        <v>37834</v>
      </c>
      <c r="O33" s="730">
        <f>'[5]Vol. Carrières'!O73</f>
        <v>46496</v>
      </c>
      <c r="P33" s="730">
        <f>'[5]Vol. Carrières'!P73</f>
        <v>48528</v>
      </c>
      <c r="Q33" s="732"/>
    </row>
    <row r="34" spans="1:17" ht="15.75">
      <c r="A34" s="529" t="s">
        <v>43</v>
      </c>
      <c r="B34" s="710" t="s">
        <v>60</v>
      </c>
      <c r="C34" s="685"/>
      <c r="D34" s="685"/>
      <c r="E34" s="687" t="s">
        <v>29</v>
      </c>
      <c r="F34" s="687" t="s">
        <v>30</v>
      </c>
      <c r="G34" s="687" t="s">
        <v>31</v>
      </c>
      <c r="H34" s="687" t="s">
        <v>32</v>
      </c>
      <c r="I34" s="687" t="s">
        <v>33</v>
      </c>
      <c r="J34" s="687" t="s">
        <v>34</v>
      </c>
      <c r="K34" s="687" t="s">
        <v>35</v>
      </c>
      <c r="L34" s="687" t="s">
        <v>65</v>
      </c>
      <c r="M34" s="687" t="s">
        <v>37</v>
      </c>
      <c r="N34" s="687" t="s">
        <v>38</v>
      </c>
      <c r="O34" s="687" t="s">
        <v>39</v>
      </c>
      <c r="P34" s="687" t="s">
        <v>40</v>
      </c>
      <c r="Q34" s="722" t="s">
        <v>3</v>
      </c>
    </row>
    <row r="35" spans="1:17">
      <c r="A35" s="706" t="s">
        <v>43</v>
      </c>
      <c r="B35" s="711" t="s">
        <v>60</v>
      </c>
      <c r="C35" s="1000" t="s">
        <v>2024</v>
      </c>
      <c r="D35" s="723" t="s">
        <v>2018</v>
      </c>
      <c r="E35" s="724">
        <f>SUMIFS('Vol. Carrières'!$E:$E,'Vol. Carrières'!$B:$B,'Vol. Carrières'!$B$77,'Vol. Carrières'!$D:$D,'Vol. Carrières'!$D$8)</f>
        <v>15979</v>
      </c>
      <c r="F35" s="725">
        <f>SUMIFS('Vol. Carrières'!$F:$F,'Vol. Carrières'!$B:$B,'Vol. Carrières'!$B$77,'Vol. Carrières'!$D:$D,'Vol. Carrières'!$D$8)</f>
        <v>36600</v>
      </c>
      <c r="G35" s="725">
        <f>SUMIFS('Vol. Carrières'!$G:$G,'Vol. Carrières'!$B:$B,'Vol. Carrières'!$B$77,'Vol. Carrières'!$D:$D,'Vol. Carrières'!$D$8)</f>
        <v>32196</v>
      </c>
      <c r="H35" s="725">
        <f>SUMIFS('Vol. Carrières'!$H:$H,'Vol. Carrières'!$B:$B,'Vol. Carrières'!$B$77,'Vol. Carrières'!$D:$D,'Vol. Carrières'!$D$8)</f>
        <v>0</v>
      </c>
      <c r="I35" s="725">
        <f>SUMIFS('Vol. Carrières'!$I:$I,'Vol. Carrières'!$B:$B,'Vol. Carrières'!$B$77,'Vol. Carrières'!$D:$D,'Vol. Carrières'!$D$8)</f>
        <v>0</v>
      </c>
      <c r="J35" s="725">
        <f>SUMIFS('Vol. Carrières'!$J:$J,'Vol. Carrières'!$B:$B,'Vol. Carrières'!$B$77,'Vol. Carrières'!$D:$D,'Vol. Carrières'!$D$8)</f>
        <v>0</v>
      </c>
      <c r="K35" s="725">
        <f>SUMIFS('Vol. Carrières'!$K:$K,'Vol. Carrières'!$B:$B,'Vol. Carrières'!$B$77,'Vol. Carrières'!$D:$D,'Vol. Carrières'!$D$8)</f>
        <v>0</v>
      </c>
      <c r="L35" s="725">
        <f>SUMIFS('Vol. Carrières'!$L:$L,'Vol. Carrières'!$B:$B,'Vol. Carrières'!$B$77,'Vol. Carrières'!$D:$D,'Vol. Carrières'!$D$8)</f>
        <v>0</v>
      </c>
      <c r="M35" s="725">
        <f>SUMIFS('Vol. Carrières'!$M:$M,'Vol. Carrières'!$B:$B,'Vol. Carrières'!$B$77,'Vol. Carrières'!$D:$D,'Vol. Carrières'!$D$8)</f>
        <v>0</v>
      </c>
      <c r="N35" s="725">
        <f>SUMIFS('Vol. Carrières'!$N:$N,'Vol. Carrières'!$B:$B,'Vol. Carrières'!$B$77,'Vol. Carrières'!$D:$D,'Vol. Carrières'!$D$8)</f>
        <v>0</v>
      </c>
      <c r="O35" s="725">
        <f>SUMIFS('Vol. Carrières'!$O:$O,'Vol. Carrières'!$B:$B,'Vol. Carrières'!$B$77,'Vol. Carrières'!$D:$D,'Vol. Carrières'!$D$8)</f>
        <v>0</v>
      </c>
      <c r="P35" s="725">
        <f>SUMIFS('Vol. Carrières'!$P:$P,'Vol. Carrières'!$B:$B,'Vol. Carrières'!$B$77,'Vol. Carrières'!$D:$D,'Vol. Carrières'!$D$8)</f>
        <v>0</v>
      </c>
      <c r="Q35" s="733">
        <f>SUM(E35:P35)</f>
        <v>84775</v>
      </c>
    </row>
    <row r="36" spans="1:17">
      <c r="A36" s="706" t="s">
        <v>43</v>
      </c>
      <c r="B36" s="711" t="s">
        <v>60</v>
      </c>
      <c r="C36" s="1000"/>
      <c r="D36" s="723" t="s">
        <v>2038</v>
      </c>
      <c r="E36" s="726">
        <f>'[5]Vol. Carrières'!E80</f>
        <v>27868</v>
      </c>
      <c r="F36" s="726">
        <f>'[5]Vol. Carrières'!F80</f>
        <v>31411</v>
      </c>
      <c r="G36" s="726">
        <f>'[5]Vol. Carrières'!G80</f>
        <v>23968</v>
      </c>
      <c r="H36" s="726">
        <f>'[5]Vol. Carrières'!H80</f>
        <v>13890</v>
      </c>
      <c r="I36" s="726">
        <f>'[5]Vol. Carrières'!I80</f>
        <v>9889</v>
      </c>
      <c r="J36" s="726">
        <f>'[5]Vol. Carrières'!J80</f>
        <v>7087</v>
      </c>
      <c r="K36" s="726">
        <f>'[5]Vol. Carrières'!K80</f>
        <v>8316</v>
      </c>
      <c r="L36" s="726">
        <f>'[5]Vol. Carrières'!L80</f>
        <v>4737</v>
      </c>
      <c r="M36" s="726">
        <f>'[5]Vol. Carrières'!M80</f>
        <v>17120</v>
      </c>
      <c r="N36" s="726">
        <f>'[5]Vol. Carrières'!N80</f>
        <v>8137</v>
      </c>
      <c r="O36" s="726">
        <f>'[5]Vol. Carrières'!O80</f>
        <v>19996</v>
      </c>
      <c r="P36" s="726">
        <f>'[5]Vol. Carrières'!P80</f>
        <v>22786</v>
      </c>
      <c r="Q36" s="734">
        <f>SUM(E36:P36)</f>
        <v>195205</v>
      </c>
    </row>
    <row r="37" spans="1:17">
      <c r="A37" s="706" t="s">
        <v>43</v>
      </c>
      <c r="B37" s="711" t="s">
        <v>60</v>
      </c>
      <c r="C37" s="1001" t="s">
        <v>2047</v>
      </c>
      <c r="D37" s="727" t="s">
        <v>2073</v>
      </c>
      <c r="E37" s="728">
        <f>SUMIFS('Vol. Carrières'!$E:$E,'Vol. Carrières'!$B:$B,'Vol. Carrières'!$B$77,'Vol. Carrières'!$D:$D,'Vol. Carrières'!$D$37)</f>
        <v>15979</v>
      </c>
      <c r="F37" s="728">
        <f>SUMIFS('Vol. Carrières'!$F:$F,'Vol. Carrières'!$B:$B,'Vol. Carrières'!$B$77,'Vol. Carrières'!$D:$D,'Vol. Carrières'!$D$37)</f>
        <v>52579</v>
      </c>
      <c r="G37" s="728">
        <f>SUMIFS('Vol. Carrières'!$G:$G,'Vol. Carrières'!$B:$B,'Vol. Carrières'!$B$77,'Vol. Carrières'!$D:$D,'Vol. Carrières'!$D$37)</f>
        <v>84775</v>
      </c>
      <c r="H37" s="728">
        <f>SUMIFS('Vol. Carrières'!$H:$H,'Vol. Carrières'!$B:$B,'Vol. Carrières'!$B$77,'Vol. Carrières'!$D:$D,'Vol. Carrières'!$D$37)</f>
        <v>84775</v>
      </c>
      <c r="I37" s="728">
        <f>SUMIFS('Vol. Carrières'!$I:$I,'Vol. Carrières'!$B:$B,'Vol. Carrières'!$B$77,'Vol. Carrières'!$D:$D,'Vol. Carrières'!$D$37)</f>
        <v>84775</v>
      </c>
      <c r="J37" s="728">
        <f>SUMIFS('Vol. Carrières'!$J:$J,'Vol. Carrières'!$B:$B,'Vol. Carrières'!$B$77,'Vol. Carrières'!$D:$D,'Vol. Carrières'!$D$37)</f>
        <v>84775</v>
      </c>
      <c r="K37" s="728">
        <f>SUMIFS('Vol. Carrières'!$K:$K,'Vol. Carrières'!$B:$B,'Vol. Carrières'!$B$77,'Vol. Carrières'!$D:$D,'Vol. Carrières'!$D$37)</f>
        <v>84775</v>
      </c>
      <c r="L37" s="728">
        <f>SUMIFS('Vol. Carrières'!$L:$L,'Vol. Carrières'!$B:$B,'Vol. Carrières'!$B$77,'Vol. Carrières'!$D:$D,'Vol. Carrières'!$D$37)</f>
        <v>84775</v>
      </c>
      <c r="M37" s="728">
        <f>SUMIFS('Vol. Carrières'!$M:$M,'Vol. Carrières'!$B:$B,'Vol. Carrières'!$B$77,'Vol. Carrières'!$D:$D,'Vol. Carrières'!$D$37)</f>
        <v>84775</v>
      </c>
      <c r="N37" s="728">
        <f>SUMIFS('Vol. Carrières'!$N:$N,'Vol. Carrières'!$B:$B,'Vol. Carrières'!$B$77,'Vol. Carrières'!$D:$D,'Vol. Carrières'!$D$37)</f>
        <v>84775</v>
      </c>
      <c r="O37" s="728">
        <f>SUMIFS('Vol. Carrières'!$O:$O,'Vol. Carrières'!$B:$B,'Vol. Carrières'!$B$77,'Vol. Carrières'!$D:$D,'Vol. Carrières'!$D$37)</f>
        <v>84775</v>
      </c>
      <c r="P37" s="728">
        <f>SUMIFS('Vol. Carrières'!$P:$P,'Vol. Carrières'!$B:$B,'Vol. Carrières'!$B$77,'Vol. Carrières'!$D:$D,'Vol. Carrières'!$D$37)</f>
        <v>84775</v>
      </c>
      <c r="Q37" s="731"/>
    </row>
    <row r="38" spans="1:17" ht="15.75" thickBot="1">
      <c r="A38" s="707" t="s">
        <v>43</v>
      </c>
      <c r="B38" s="712" t="s">
        <v>60</v>
      </c>
      <c r="C38" s="1002"/>
      <c r="D38" s="729" t="s">
        <v>2074</v>
      </c>
      <c r="E38" s="730">
        <f>'[5]Vol. Carrières'!E85</f>
        <v>27868</v>
      </c>
      <c r="F38" s="730">
        <f>'[5]Vol. Carrières'!F85</f>
        <v>59279</v>
      </c>
      <c r="G38" s="730">
        <f>'[5]Vol. Carrières'!G85</f>
        <v>83247</v>
      </c>
      <c r="H38" s="730">
        <f>'[5]Vol. Carrières'!H85</f>
        <v>97137</v>
      </c>
      <c r="I38" s="730">
        <f>'[5]Vol. Carrières'!I85</f>
        <v>107026</v>
      </c>
      <c r="J38" s="730">
        <f>'[5]Vol. Carrières'!J85</f>
        <v>114113</v>
      </c>
      <c r="K38" s="730">
        <f>'[5]Vol. Carrières'!K85</f>
        <v>122429</v>
      </c>
      <c r="L38" s="730">
        <f>'[5]Vol. Carrières'!L85</f>
        <v>127166</v>
      </c>
      <c r="M38" s="730">
        <f>'[5]Vol. Carrières'!M85</f>
        <v>144286</v>
      </c>
      <c r="N38" s="730">
        <f>'[5]Vol. Carrières'!N85</f>
        <v>152423</v>
      </c>
      <c r="O38" s="730">
        <f>'[5]Vol. Carrières'!O85</f>
        <v>172419</v>
      </c>
      <c r="P38" s="730">
        <f>'[5]Vol. Carrières'!P85</f>
        <v>195205</v>
      </c>
      <c r="Q38" s="732"/>
    </row>
    <row r="39" spans="1:17" ht="15.75">
      <c r="A39" s="529" t="s">
        <v>43</v>
      </c>
      <c r="B39" s="710" t="s">
        <v>2015</v>
      </c>
      <c r="C39" s="685"/>
      <c r="D39" s="685"/>
      <c r="E39" s="687" t="s">
        <v>29</v>
      </c>
      <c r="F39" s="687" t="s">
        <v>30</v>
      </c>
      <c r="G39" s="687" t="s">
        <v>31</v>
      </c>
      <c r="H39" s="687" t="s">
        <v>32</v>
      </c>
      <c r="I39" s="687" t="s">
        <v>33</v>
      </c>
      <c r="J39" s="687" t="s">
        <v>34</v>
      </c>
      <c r="K39" s="687" t="s">
        <v>35</v>
      </c>
      <c r="L39" s="687" t="s">
        <v>65</v>
      </c>
      <c r="M39" s="687" t="s">
        <v>37</v>
      </c>
      <c r="N39" s="687" t="s">
        <v>38</v>
      </c>
      <c r="O39" s="687" t="s">
        <v>39</v>
      </c>
      <c r="P39" s="687" t="s">
        <v>40</v>
      </c>
      <c r="Q39" s="722" t="s">
        <v>3</v>
      </c>
    </row>
    <row r="40" spans="1:17">
      <c r="A40" s="706" t="s">
        <v>43</v>
      </c>
      <c r="B40" s="711" t="s">
        <v>2015</v>
      </c>
      <c r="C40" s="1000" t="s">
        <v>2024</v>
      </c>
      <c r="D40" s="723" t="s">
        <v>2018</v>
      </c>
      <c r="E40" s="724">
        <f>SUMIFS('Vol. Carrières'!$E:$E,'Vol. Carrières'!$B:$B,'Vol. Carrières'!$B$89,'Vol. Carrières'!$D:$D,'Vol. Carrières'!$D$32)</f>
        <v>10742</v>
      </c>
      <c r="F40" s="725">
        <f>SUMIFS('Vol. Carrières'!$F:$F,'Vol. Carrières'!$B:$B,'Vol. Carrières'!$B$89,'Vol. Carrières'!$D:$D,'Vol. Carrières'!$D$32)</f>
        <v>4028</v>
      </c>
      <c r="G40" s="725">
        <f>SUMIFS('Vol. Carrières'!$G:$G,'Vol. Carrières'!$B:$B,'Vol. Carrières'!$B$89,'Vol. Carrières'!$D:$D,'Vol. Carrières'!$D$32)</f>
        <v>3093</v>
      </c>
      <c r="H40" s="725">
        <f>SUMIFS('Vol. Carrières'!$H:$H,'Vol. Carrières'!$B:$B,'Vol. Carrières'!$B$89,'Vol. Carrières'!$D:$D,'Vol. Carrières'!$D$32)</f>
        <v>0</v>
      </c>
      <c r="I40" s="725">
        <f>SUMIFS('Vol. Carrières'!$I:$I,'Vol. Carrières'!$B:$B,'Vol. Carrières'!$B$89,'Vol. Carrières'!$D:$D,'Vol. Carrières'!$D$32)</f>
        <v>0</v>
      </c>
      <c r="J40" s="725">
        <f>SUMIFS('Vol. Carrières'!$J:$J,'Vol. Carrières'!$B:$B,'Vol. Carrières'!$B$89,'Vol. Carrières'!$D:$D,'Vol. Carrières'!$D$32)</f>
        <v>0</v>
      </c>
      <c r="K40" s="725">
        <f>SUMIFS('Vol. Carrières'!$K:$K,'Vol. Carrières'!$B:$B,'Vol. Carrières'!$B$89,'Vol. Carrières'!$D:$D,'Vol. Carrières'!$D$32)</f>
        <v>0</v>
      </c>
      <c r="L40" s="725">
        <f>SUMIFS('Vol. Carrières'!$L:$L,'Vol. Carrières'!$B:$B,'Vol. Carrières'!$B$89,'Vol. Carrières'!$D:$D,'Vol. Carrières'!$D$32)</f>
        <v>0</v>
      </c>
      <c r="M40" s="725">
        <f>SUMIFS('Vol. Carrières'!M:M,'Vol. Carrières'!$B:$B,'Vol. Carrières'!$B$89,'Vol. Carrières'!$D:$D,'Vol. Carrières'!$D$32)</f>
        <v>0</v>
      </c>
      <c r="N40" s="725">
        <f>SUMIFS('Vol. Carrières'!$N:$N,'Vol. Carrières'!$B:$B,'Vol. Carrières'!$B$89,'Vol. Carrières'!$D:$D,'Vol. Carrières'!$D$32)</f>
        <v>0</v>
      </c>
      <c r="O40" s="725">
        <f>SUMIFS('Vol. Carrières'!$O:$O,'Vol. Carrières'!$B:$B,'Vol. Carrières'!$B$89,'Vol. Carrières'!$D:$D,'Vol. Carrières'!$D$32)</f>
        <v>0</v>
      </c>
      <c r="P40" s="725">
        <f>SUMIFS('Vol. Carrières'!$P:$P,'Vol. Carrières'!$B:$B,'Vol. Carrières'!$B$89,'Vol. Carrières'!$D:$D,'Vol. Carrières'!$D$32)</f>
        <v>0</v>
      </c>
      <c r="Q40" s="733">
        <f>SUM(E40:P40)</f>
        <v>17863</v>
      </c>
    </row>
    <row r="41" spans="1:17">
      <c r="A41" s="706" t="s">
        <v>43</v>
      </c>
      <c r="B41" s="711" t="s">
        <v>2015</v>
      </c>
      <c r="C41" s="1000"/>
      <c r="D41" s="723" t="s">
        <v>2038</v>
      </c>
      <c r="E41" s="726">
        <f>'[5]Vol. Carrières'!E92</f>
        <v>4961</v>
      </c>
      <c r="F41" s="726">
        <f>'[5]Vol. Carrières'!F92</f>
        <v>5050</v>
      </c>
      <c r="G41" s="726">
        <f>'[5]Vol. Carrières'!G92</f>
        <v>3487</v>
      </c>
      <c r="H41" s="726">
        <f>'[5]Vol. Carrières'!H92</f>
        <v>5688</v>
      </c>
      <c r="I41" s="726">
        <f>'[5]Vol. Carrières'!I92</f>
        <v>10052</v>
      </c>
      <c r="J41" s="726">
        <f>'[5]Vol. Carrières'!J92</f>
        <v>12287</v>
      </c>
      <c r="K41" s="726">
        <f>'[5]Vol. Carrières'!K92</f>
        <v>14636</v>
      </c>
      <c r="L41" s="726">
        <f>'[5]Vol. Carrières'!L92</f>
        <v>8108</v>
      </c>
      <c r="M41" s="726">
        <f>'[5]Vol. Carrières'!M92</f>
        <v>13572</v>
      </c>
      <c r="N41" s="726">
        <f>'[5]Vol. Carrières'!N92</f>
        <v>4046</v>
      </c>
      <c r="O41" s="726">
        <f>'[5]Vol. Carrières'!O92</f>
        <v>1841</v>
      </c>
      <c r="P41" s="726">
        <f>'[5]Vol. Carrières'!P92</f>
        <v>0</v>
      </c>
      <c r="Q41" s="734">
        <f>SUM(E41:P41)</f>
        <v>83728</v>
      </c>
    </row>
    <row r="42" spans="1:17">
      <c r="A42" s="706" t="s">
        <v>43</v>
      </c>
      <c r="B42" s="711" t="s">
        <v>2015</v>
      </c>
      <c r="C42" s="1001" t="s">
        <v>2047</v>
      </c>
      <c r="D42" s="727" t="s">
        <v>2073</v>
      </c>
      <c r="E42" s="728">
        <f>SUMIFS('Vol. Carrières'!$E:$E,'Vol. Carrières'!$B:$B,'Vol. Carrières'!$B$89,'Vol. Carrières'!$D:$D,'Vol. Carrières'!$D$37)</f>
        <v>10742</v>
      </c>
      <c r="F42" s="728">
        <f>SUMIFS('Vol. Carrières'!$F:$F,'Vol. Carrières'!$B:$B,'Vol. Carrières'!$B$89,'Vol. Carrières'!$D:$D,'Vol. Carrières'!$D$37)</f>
        <v>14770</v>
      </c>
      <c r="G42" s="728">
        <f>SUMIFS('Vol. Carrières'!$G:$G,'Vol. Carrières'!$B:$B,'Vol. Carrières'!$B$89,'Vol. Carrières'!$D:$D,'Vol. Carrières'!$D$37)</f>
        <v>17863</v>
      </c>
      <c r="H42" s="728">
        <f>SUMIFS('Vol. Carrières'!$H:$H,'Vol. Carrières'!$B:$B,'Vol. Carrières'!$B$89,'Vol. Carrières'!$D:$D,'Vol. Carrières'!$D$37)</f>
        <v>17863</v>
      </c>
      <c r="I42" s="728">
        <f>SUMIFS('Vol. Carrières'!$I:$I,'Vol. Carrières'!$B:$B,'Vol. Carrières'!$B$89,'Vol. Carrières'!$D:$D,'Vol. Carrières'!$D$37)</f>
        <v>17863</v>
      </c>
      <c r="J42" s="728">
        <f>SUMIFS('Vol. Carrières'!$J:$J,'Vol. Carrières'!$B:$B,'Vol. Carrières'!$B$89,'Vol. Carrières'!$D:$D,'Vol. Carrières'!$D$37)</f>
        <v>17863</v>
      </c>
      <c r="K42" s="728">
        <f>SUMIFS('Vol. Carrières'!$K:$K,'Vol. Carrières'!$B:$B,'Vol. Carrières'!$B$89,'Vol. Carrières'!$D:$D,'Vol. Carrières'!$D$37)</f>
        <v>17863</v>
      </c>
      <c r="L42" s="728">
        <f>SUMIFS('Vol. Carrières'!$L:$L,'Vol. Carrières'!$B:$B,'Vol. Carrières'!$B$89,'Vol. Carrières'!$D:$D,'Vol. Carrières'!$D$37)</f>
        <v>17863</v>
      </c>
      <c r="M42" s="728">
        <f>SUMIFS('Vol. Carrières'!$M:$M,'Vol. Carrières'!$B:$B,'Vol. Carrières'!$B$89,'Vol. Carrières'!$D:$D,'Vol. Carrières'!$D$37)</f>
        <v>17863</v>
      </c>
      <c r="N42" s="728">
        <f>SUMIFS('Vol. Carrières'!$N:$N,'Vol. Carrières'!$B:$B,'Vol. Carrières'!$B$89,'Vol. Carrières'!$D:$D,'Vol. Carrières'!$D$37)</f>
        <v>17863</v>
      </c>
      <c r="O42" s="728">
        <f>SUMIFS('Vol. Carrières'!$O:$O,'Vol. Carrières'!$B:$B,'Vol. Carrières'!$B$89,'Vol. Carrières'!$D:$D,'Vol. Carrières'!$D$37)</f>
        <v>17863</v>
      </c>
      <c r="P42" s="728">
        <f>SUMIFS('Vol. Carrières'!$P:$P,'Vol. Carrières'!$B:$B,'Vol. Carrières'!$B$89,'Vol. Carrières'!$D:$D,'Vol. Carrières'!$D$37)</f>
        <v>17863</v>
      </c>
      <c r="Q42" s="731"/>
    </row>
    <row r="43" spans="1:17" ht="15.75" thickBot="1">
      <c r="A43" s="707" t="s">
        <v>43</v>
      </c>
      <c r="B43" s="712" t="s">
        <v>2015</v>
      </c>
      <c r="C43" s="1002"/>
      <c r="D43" s="729" t="s">
        <v>2074</v>
      </c>
      <c r="E43" s="730">
        <f>'[5]Vol. Carrières'!E97</f>
        <v>4961</v>
      </c>
      <c r="F43" s="730">
        <f>'[5]Vol. Carrières'!F97</f>
        <v>10011</v>
      </c>
      <c r="G43" s="730">
        <f>'[5]Vol. Carrières'!G97</f>
        <v>13498</v>
      </c>
      <c r="H43" s="730">
        <f>'[5]Vol. Carrières'!H97</f>
        <v>19186</v>
      </c>
      <c r="I43" s="730">
        <f>'[5]Vol. Carrières'!I97</f>
        <v>29238</v>
      </c>
      <c r="J43" s="730">
        <f>'[5]Vol. Carrières'!J97</f>
        <v>41525</v>
      </c>
      <c r="K43" s="730">
        <f>'[5]Vol. Carrières'!K97</f>
        <v>56161</v>
      </c>
      <c r="L43" s="730">
        <f>'[5]Vol. Carrières'!L97</f>
        <v>64269</v>
      </c>
      <c r="M43" s="730">
        <f>'[5]Vol. Carrières'!M97</f>
        <v>77841</v>
      </c>
      <c r="N43" s="730">
        <f>'[5]Vol. Carrières'!N97</f>
        <v>81887</v>
      </c>
      <c r="O43" s="730">
        <f>'[5]Vol. Carrières'!O97</f>
        <v>83728</v>
      </c>
      <c r="P43" s="730">
        <f>'[5]Vol. Carrières'!P97</f>
        <v>83728</v>
      </c>
      <c r="Q43" s="732"/>
    </row>
    <row r="44" spans="1:17" ht="15.75">
      <c r="A44" s="557" t="s">
        <v>2029</v>
      </c>
      <c r="B44" s="710" t="s">
        <v>73</v>
      </c>
      <c r="C44" s="685"/>
      <c r="D44" s="685"/>
      <c r="E44" s="687" t="s">
        <v>29</v>
      </c>
      <c r="F44" s="687" t="s">
        <v>30</v>
      </c>
      <c r="G44" s="687" t="s">
        <v>31</v>
      </c>
      <c r="H44" s="687" t="s">
        <v>32</v>
      </c>
      <c r="I44" s="687" t="s">
        <v>33</v>
      </c>
      <c r="J44" s="687" t="s">
        <v>34</v>
      </c>
      <c r="K44" s="687" t="s">
        <v>35</v>
      </c>
      <c r="L44" s="687" t="s">
        <v>65</v>
      </c>
      <c r="M44" s="687" t="s">
        <v>37</v>
      </c>
      <c r="N44" s="687" t="s">
        <v>38</v>
      </c>
      <c r="O44" s="687" t="s">
        <v>39</v>
      </c>
      <c r="P44" s="687" t="s">
        <v>40</v>
      </c>
      <c r="Q44" s="722" t="s">
        <v>3</v>
      </c>
    </row>
    <row r="45" spans="1:17">
      <c r="A45" s="708" t="s">
        <v>2029</v>
      </c>
      <c r="B45" s="711" t="s">
        <v>73</v>
      </c>
      <c r="C45" s="1000" t="s">
        <v>2024</v>
      </c>
      <c r="D45" s="723" t="s">
        <v>2018</v>
      </c>
      <c r="E45" s="724">
        <f>SUMIFS('Vol. Carrières'!$E:$E,'Vol. Carrières'!$B:$B,'Vol. Carrières'!$B$101,'Vol. Carrières'!$D:$D,'Vol. Carrières'!$D$8)</f>
        <v>0</v>
      </c>
      <c r="F45" s="725">
        <f>SUMIFS('Vol. Carrières'!$F:$F,'Vol. Carrières'!$B:$B,'Vol. Carrières'!$B$101,'Vol. Carrières'!$D:$D,'Vol. Carrières'!$D$8)</f>
        <v>12004</v>
      </c>
      <c r="G45" s="725">
        <f>SUMIFS('Vol. Carrières'!$G:$G,'Vol. Carrières'!$B:$B,'Vol. Carrières'!$B$101,'Vol. Carrières'!$D:$D,'Vol. Carrières'!$D$8)</f>
        <v>3091</v>
      </c>
      <c r="H45" s="725">
        <f>SUMIFS('Vol. Carrières'!$H:$H,'Vol. Carrières'!$B:$B,'Vol. Carrières'!$B$101,'Vol. Carrières'!$D:$D,'Vol. Carrières'!$D$8)</f>
        <v>0</v>
      </c>
      <c r="I45" s="725">
        <f>SUMIFS('Vol. Carrières'!$I:$I,'Vol. Carrières'!$B:$B,'Vol. Carrières'!$B$101,'Vol. Carrières'!$D:$D,'Vol. Carrières'!$D$8)</f>
        <v>0</v>
      </c>
      <c r="J45" s="725">
        <f>SUMIFS('Vol. Carrières'!$J:$J,'Vol. Carrières'!$B:$B,'Vol. Carrières'!$B$101,'Vol. Carrières'!$D:$D,'Vol. Carrières'!$D$8)</f>
        <v>0</v>
      </c>
      <c r="K45" s="725">
        <f>SUMIFS('Vol. Carrières'!$K:$K,'Vol. Carrières'!$B:$B,'Vol. Carrières'!$B$101,'Vol. Carrières'!$D:$D,'Vol. Carrières'!$D$8)</f>
        <v>0</v>
      </c>
      <c r="L45" s="725">
        <f>SUMIFS('Vol. Carrières'!$L:$L,'Vol. Carrières'!$B:$B,'Vol. Carrières'!$B$101,'Vol. Carrières'!$D:$D,'Vol. Carrières'!$D$8)</f>
        <v>0</v>
      </c>
      <c r="M45" s="725">
        <f>SUMIFS('Vol. Carrières'!$M:$M,'Vol. Carrières'!$B:$B,'Vol. Carrières'!$B$101,'Vol. Carrières'!$D:$D,'Vol. Carrières'!$D$8)</f>
        <v>0</v>
      </c>
      <c r="N45" s="725">
        <f>SUMIFS('Vol. Carrières'!$N:$N,'Vol. Carrières'!$B:$B,'Vol. Carrières'!$B$101,'Vol. Carrières'!$D:$D,'Vol. Carrières'!$D$8)</f>
        <v>0</v>
      </c>
      <c r="O45" s="725">
        <f>SUMIFS('Vol. Carrières'!$O:$O,'Vol. Carrières'!$B:$B,'Vol. Carrières'!$B$101,'Vol. Carrières'!$D:$D,'Vol. Carrières'!$D$8)</f>
        <v>0</v>
      </c>
      <c r="P45" s="725">
        <f>SUMIFS('Vol. Carrières'!$P:$P,'Vol. Carrières'!$B:$B,'Vol. Carrières'!$B$101,'Vol. Carrières'!$D:$D,'Vol. Carrières'!$D$8)</f>
        <v>0</v>
      </c>
      <c r="Q45" s="733">
        <f>SUM(E45:P45)</f>
        <v>15095</v>
      </c>
    </row>
    <row r="46" spans="1:17">
      <c r="A46" s="708" t="s">
        <v>2029</v>
      </c>
      <c r="B46" s="711" t="s">
        <v>73</v>
      </c>
      <c r="C46" s="1000"/>
      <c r="D46" s="723" t="s">
        <v>2038</v>
      </c>
      <c r="E46" s="726">
        <f>'[5]Vol. Carrières'!E104</f>
        <v>391</v>
      </c>
      <c r="F46" s="726">
        <f>'[5]Vol. Carrières'!F104</f>
        <v>2057</v>
      </c>
      <c r="G46" s="726">
        <f>'[5]Vol. Carrières'!G104</f>
        <v>0</v>
      </c>
      <c r="H46" s="726">
        <f>'[5]Vol. Carrières'!H104</f>
        <v>60</v>
      </c>
      <c r="I46" s="726">
        <f>'[5]Vol. Carrières'!I104</f>
        <v>0</v>
      </c>
      <c r="J46" s="726">
        <f>'[5]Vol. Carrières'!J104</f>
        <v>0</v>
      </c>
      <c r="K46" s="726">
        <f>'[5]Vol. Carrières'!K104</f>
        <v>0</v>
      </c>
      <c r="L46" s="726">
        <f>'[5]Vol. Carrières'!L104</f>
        <v>0</v>
      </c>
      <c r="M46" s="726">
        <f>'[5]Vol. Carrières'!M104</f>
        <v>0</v>
      </c>
      <c r="N46" s="726">
        <f>'[5]Vol. Carrières'!N104</f>
        <v>0</v>
      </c>
      <c r="O46" s="726">
        <f>'[5]Vol. Carrières'!O104</f>
        <v>0</v>
      </c>
      <c r="P46" s="726">
        <f>'[5]Vol. Carrières'!P104</f>
        <v>0</v>
      </c>
      <c r="Q46" s="734">
        <f>SUM(E46:P46)</f>
        <v>2508</v>
      </c>
    </row>
    <row r="47" spans="1:17">
      <c r="A47" s="708" t="s">
        <v>2029</v>
      </c>
      <c r="B47" s="711" t="s">
        <v>73</v>
      </c>
      <c r="C47" s="1001" t="s">
        <v>2047</v>
      </c>
      <c r="D47" s="727" t="s">
        <v>2073</v>
      </c>
      <c r="E47" s="728">
        <f>SUMIFS('Vol. Carrières'!$E:$E,'Vol. Carrières'!$B:$B,'Vol. Carrières'!$B$101,'Vol. Carrières'!$D:$D,'Vol. Carrières'!$D$109)</f>
        <v>0</v>
      </c>
      <c r="F47" s="728">
        <f>SUMIFS('Vol. Carrières'!$F:$F,'Vol. Carrières'!$B:$B,'Vol. Carrières'!$B$101,'Vol. Carrières'!$D:$D,'Vol. Carrières'!$D$109)</f>
        <v>12004</v>
      </c>
      <c r="G47" s="728">
        <f>SUMIFS('Vol. Carrières'!$G:$G,'Vol. Carrières'!$B:$B,'Vol. Carrières'!$B$101,'Vol. Carrières'!$D:$D,'Vol. Carrières'!$D$109)</f>
        <v>15095</v>
      </c>
      <c r="H47" s="728">
        <f>SUMIFS('Vol. Carrières'!$H:$H,'Vol. Carrières'!$B:$B,'Vol. Carrières'!$B$101,'Vol. Carrières'!$D:$D,'Vol. Carrières'!$D$109)</f>
        <v>15095</v>
      </c>
      <c r="I47" s="728">
        <f>SUMIFS('Vol. Carrières'!$I:$I,'Vol. Carrières'!$B:$B,'Vol. Carrières'!$B$101,'Vol. Carrières'!$D:$D,'Vol. Carrières'!$D$109)</f>
        <v>15095</v>
      </c>
      <c r="J47" s="728">
        <f>SUMIFS('Vol. Carrières'!$J:$J,'Vol. Carrières'!$B:$B,'Vol. Carrières'!$B$101,'Vol. Carrières'!$D:$D,'Vol. Carrières'!$D$109)</f>
        <v>15095</v>
      </c>
      <c r="K47" s="728">
        <f>SUMIFS('Vol. Carrières'!$K:$K,'Vol. Carrières'!$B:$B,'Vol. Carrières'!$B$101,'Vol. Carrières'!$D:$D,'Vol. Carrières'!$D$109)</f>
        <v>15095</v>
      </c>
      <c r="L47" s="728">
        <f>SUMIFS('Vol. Carrières'!$L:$L,'Vol. Carrières'!$B:$B,'Vol. Carrières'!$B$101,'Vol. Carrières'!$D:$D,'Vol. Carrières'!$D$109)</f>
        <v>15095</v>
      </c>
      <c r="M47" s="728">
        <f>SUMIFS('Vol. Carrières'!$M:$M,'Vol. Carrières'!$B:$B,'Vol. Carrières'!$B$101,'Vol. Carrières'!$D:$D,'Vol. Carrières'!$D$109)</f>
        <v>15095</v>
      </c>
      <c r="N47" s="728">
        <f>SUMIFS('Vol. Carrières'!$N:$N,'Vol. Carrières'!$B:$B,'Vol. Carrières'!$B$101,'Vol. Carrières'!$D:$D,'Vol. Carrières'!$D$109)</f>
        <v>15095</v>
      </c>
      <c r="O47" s="728">
        <f>SUMIFS('Vol. Carrières'!$O:$O,'Vol. Carrières'!$B:$B,'Vol. Carrières'!$B$101,'Vol. Carrières'!$D:$D,'Vol. Carrières'!$D$109)</f>
        <v>15095</v>
      </c>
      <c r="P47" s="728">
        <f>SUMIFS('Vol. Carrières'!$P:$P,'Vol. Carrières'!$B:$B,'Vol. Carrières'!$B$101,'Vol. Carrières'!$D:$D,'Vol. Carrières'!$D$109)</f>
        <v>15095</v>
      </c>
      <c r="Q47" s="731"/>
    </row>
    <row r="48" spans="1:17" ht="15.75" thickBot="1">
      <c r="A48" s="709" t="s">
        <v>2029</v>
      </c>
      <c r="B48" s="712" t="s">
        <v>73</v>
      </c>
      <c r="C48" s="1002"/>
      <c r="D48" s="729" t="s">
        <v>2074</v>
      </c>
      <c r="E48" s="730">
        <f>'[5]Vol. Carrières'!E109</f>
        <v>391</v>
      </c>
      <c r="F48" s="730">
        <f>'[5]Vol. Carrières'!F109</f>
        <v>2448</v>
      </c>
      <c r="G48" s="730">
        <f>'[5]Vol. Carrières'!G109</f>
        <v>2448</v>
      </c>
      <c r="H48" s="730">
        <f>'[5]Vol. Carrières'!H109</f>
        <v>2508</v>
      </c>
      <c r="I48" s="730">
        <f>'[5]Vol. Carrières'!I109</f>
        <v>2508</v>
      </c>
      <c r="J48" s="730">
        <f>'[5]Vol. Carrières'!J109</f>
        <v>2508</v>
      </c>
      <c r="K48" s="730">
        <f>'[5]Vol. Carrières'!K109</f>
        <v>2508</v>
      </c>
      <c r="L48" s="730">
        <f>'[5]Vol. Carrières'!L109</f>
        <v>2508</v>
      </c>
      <c r="M48" s="730">
        <f>'[5]Vol. Carrières'!M109</f>
        <v>2508</v>
      </c>
      <c r="N48" s="730">
        <f>'[5]Vol. Carrières'!N109</f>
        <v>2508</v>
      </c>
      <c r="O48" s="730">
        <f>'[5]Vol. Carrières'!O109</f>
        <v>2508</v>
      </c>
      <c r="P48" s="730">
        <f>'[5]Vol. Carrières'!P109</f>
        <v>2508</v>
      </c>
      <c r="Q48" s="732"/>
    </row>
    <row r="49" spans="1:17" ht="15.75">
      <c r="A49" s="557" t="s">
        <v>2029</v>
      </c>
      <c r="B49" s="710" t="s">
        <v>69</v>
      </c>
      <c r="C49" s="685"/>
      <c r="D49" s="685"/>
      <c r="E49" s="687" t="s">
        <v>29</v>
      </c>
      <c r="F49" s="687" t="s">
        <v>30</v>
      </c>
      <c r="G49" s="687" t="s">
        <v>31</v>
      </c>
      <c r="H49" s="687" t="s">
        <v>32</v>
      </c>
      <c r="I49" s="687" t="s">
        <v>33</v>
      </c>
      <c r="J49" s="687" t="s">
        <v>34</v>
      </c>
      <c r="K49" s="687" t="s">
        <v>35</v>
      </c>
      <c r="L49" s="687" t="s">
        <v>65</v>
      </c>
      <c r="M49" s="687" t="s">
        <v>37</v>
      </c>
      <c r="N49" s="687" t="s">
        <v>38</v>
      </c>
      <c r="O49" s="687" t="s">
        <v>39</v>
      </c>
      <c r="P49" s="687" t="s">
        <v>40</v>
      </c>
      <c r="Q49" s="722" t="s">
        <v>3</v>
      </c>
    </row>
    <row r="50" spans="1:17">
      <c r="A50" s="708" t="s">
        <v>2029</v>
      </c>
      <c r="B50" s="711" t="s">
        <v>69</v>
      </c>
      <c r="C50" s="1000" t="s">
        <v>2024</v>
      </c>
      <c r="D50" s="723" t="s">
        <v>2018</v>
      </c>
      <c r="E50" s="724">
        <f>SUMIFS('Vol. Carrières'!$E:$E,'Vol. Carrières'!$B:$B,'Vol. Carrières'!$B$113,'Vol. Carrières'!$D:$D,'Vol. Carrières'!$D$8)</f>
        <v>0</v>
      </c>
      <c r="F50" s="725">
        <f>SUMIFS('Vol. Carrières'!$F:$F,'Vol. Carrières'!$B:$B,'Vol. Carrières'!$B$113,'Vol. Carrières'!$D:$D,'Vol. Carrières'!$D$8)</f>
        <v>566</v>
      </c>
      <c r="G50" s="725">
        <f>SUMIFS('Vol. Carrières'!$G:$G,'Vol. Carrières'!$B:$B,'Vol. Carrières'!$B$113,'Vol. Carrières'!$D:$D,'Vol. Carrières'!$D$8)</f>
        <v>545</v>
      </c>
      <c r="H50" s="725">
        <f>SUMIFS('Vol. Carrières'!$H:$H,'Vol. Carrières'!$B:$B,'Vol. Carrières'!$B$113,'Vol. Carrières'!$D:$D,'Vol. Carrières'!$D$8)</f>
        <v>0</v>
      </c>
      <c r="I50" s="725">
        <f>SUMIFS('Vol. Carrières'!$I:$I,'Vol. Carrières'!$B:$B,'Vol. Carrières'!$B$113,'Vol. Carrières'!$D:$D,'Vol. Carrières'!$D$8)</f>
        <v>0</v>
      </c>
      <c r="J50" s="725">
        <f>SUMIFS('Vol. Carrières'!$J:$J,'Vol. Carrières'!$B:$B,'Vol. Carrières'!$B$113,'Vol. Carrières'!$D:$D,'Vol. Carrières'!$D$8)</f>
        <v>0</v>
      </c>
      <c r="K50" s="725">
        <f>SUMIFS('Vol. Carrières'!$K:$K,'Vol. Carrières'!$B:$B,'Vol. Carrières'!$B$113,'Vol. Carrières'!$D:$D,'Vol. Carrières'!$D$8)</f>
        <v>0</v>
      </c>
      <c r="L50" s="725">
        <f>SUMIFS('Vol. Carrières'!$L:$L,'Vol. Carrières'!$B:$B,'Vol. Carrières'!$B$113,'Vol. Carrières'!$D:$D,'Vol. Carrières'!$D$8)</f>
        <v>0</v>
      </c>
      <c r="M50" s="725">
        <f>SUMIFS('Vol. Carrières'!$M:$M,'Vol. Carrières'!$B:$B,'Vol. Carrières'!$B$113,'Vol. Carrières'!$D:$D,'Vol. Carrières'!$D$8)</f>
        <v>0</v>
      </c>
      <c r="N50" s="725">
        <f>SUMIFS('Vol. Carrières'!$N:$N,'Vol. Carrières'!$B:$B,'Vol. Carrières'!$B$113,'Vol. Carrières'!$D:$D,'Vol. Carrières'!$D$8)</f>
        <v>0</v>
      </c>
      <c r="O50" s="725">
        <f>SUMIFS('Vol. Carrières'!$O:$O,'Vol. Carrières'!$B:$B,'Vol. Carrières'!$B$113,'Vol. Carrières'!$D:$D,'Vol. Carrières'!$D$8)</f>
        <v>0</v>
      </c>
      <c r="P50" s="725">
        <f>SUMIFS('Vol. Carrières'!$P:$P,'Vol. Carrières'!$B:$B,'Vol. Carrières'!$B$113,'Vol. Carrières'!$D:$D,'Vol. Carrières'!$D$8)</f>
        <v>0</v>
      </c>
      <c r="Q50" s="733">
        <f>SUM(E50:P50)</f>
        <v>1111</v>
      </c>
    </row>
    <row r="51" spans="1:17">
      <c r="A51" s="708" t="s">
        <v>2029</v>
      </c>
      <c r="B51" s="711" t="s">
        <v>69</v>
      </c>
      <c r="C51" s="1000"/>
      <c r="D51" s="723" t="s">
        <v>2038</v>
      </c>
      <c r="E51" s="726">
        <f>'[5]Vol. Carrières'!E116</f>
        <v>19715</v>
      </c>
      <c r="F51" s="726">
        <f>'[5]Vol. Carrières'!F116</f>
        <v>13544</v>
      </c>
      <c r="G51" s="726">
        <f>'[5]Vol. Carrières'!G116</f>
        <v>19639</v>
      </c>
      <c r="H51" s="726">
        <f>'[5]Vol. Carrières'!H116</f>
        <v>21311</v>
      </c>
      <c r="I51" s="726">
        <f>'[5]Vol. Carrières'!I116</f>
        <v>21316</v>
      </c>
      <c r="J51" s="726">
        <f>'[5]Vol. Carrières'!J116</f>
        <v>5732</v>
      </c>
      <c r="K51" s="726">
        <f>'[5]Vol. Carrières'!K116</f>
        <v>0</v>
      </c>
      <c r="L51" s="726">
        <f>'[5]Vol. Carrières'!L116</f>
        <v>2666</v>
      </c>
      <c r="M51" s="726">
        <f>'[5]Vol. Carrières'!M116</f>
        <v>660</v>
      </c>
      <c r="N51" s="726">
        <f>'[5]Vol. Carrières'!N116</f>
        <v>862</v>
      </c>
      <c r="O51" s="726">
        <f>'[5]Vol. Carrières'!O116</f>
        <v>0</v>
      </c>
      <c r="P51" s="726">
        <f>'[5]Vol. Carrières'!P116</f>
        <v>0</v>
      </c>
      <c r="Q51" s="734">
        <f>SUM(E51:P51)</f>
        <v>105445</v>
      </c>
    </row>
    <row r="52" spans="1:17">
      <c r="A52" s="708" t="s">
        <v>2029</v>
      </c>
      <c r="B52" s="711" t="s">
        <v>69</v>
      </c>
      <c r="C52" s="1001" t="s">
        <v>2047</v>
      </c>
      <c r="D52" s="727" t="s">
        <v>2073</v>
      </c>
      <c r="E52" s="728">
        <f>SUMIFS('Vol. Carrières'!$E:$E,'Vol. Carrières'!$B:$B,'Vol. Carrières'!$B$113,'Vol. Carrières'!$D:$D,'Vol. Carrières'!$D$8)</f>
        <v>0</v>
      </c>
      <c r="F52" s="728">
        <f>SUMIFS('Vol. Carrières'!$F:$F,'Vol. Carrières'!$B:$B,'Vol. Carrières'!$B$113,'Vol. Carrières'!$D:$D,'Vol. Carrières'!$D$8)</f>
        <v>566</v>
      </c>
      <c r="G52" s="728">
        <f>SUMIFS('Vol. Carrières'!$G:$G,'Vol. Carrières'!$B:$B,'Vol. Carrières'!$B$113,'Vol. Carrières'!$D:$D,'Vol. Carrières'!$D$8)</f>
        <v>545</v>
      </c>
      <c r="H52" s="728">
        <f>SUMIFS('Vol. Carrières'!$H:$H,'Vol. Carrières'!$B:$B,'Vol. Carrières'!$B$113,'Vol. Carrières'!$D:$D,'Vol. Carrières'!$D$8)</f>
        <v>0</v>
      </c>
      <c r="I52" s="728">
        <f>SUMIFS('Vol. Carrières'!$I:$I,'Vol. Carrières'!$B:$B,'Vol. Carrières'!$B$113,'Vol. Carrières'!$D:$D,'Vol. Carrières'!$D$8)</f>
        <v>0</v>
      </c>
      <c r="J52" s="728">
        <f>SUMIFS('Vol. Carrières'!$J:$J,'Vol. Carrières'!$B:$B,'Vol. Carrières'!$B$113,'Vol. Carrières'!$D:$D,'Vol. Carrières'!$D$8)</f>
        <v>0</v>
      </c>
      <c r="K52" s="728">
        <f>SUMIFS('Vol. Carrières'!$K:$K,'Vol. Carrières'!$B:$B,'Vol. Carrières'!$B$113,'Vol. Carrières'!$D:$D,'Vol. Carrières'!$D$8)</f>
        <v>0</v>
      </c>
      <c r="L52" s="728">
        <f>SUMIFS('Vol. Carrières'!$L:$L,'Vol. Carrières'!$B:$B,'Vol. Carrières'!$B$113,'Vol. Carrières'!$D:$D,'Vol. Carrières'!$D$8)</f>
        <v>0</v>
      </c>
      <c r="M52" s="728">
        <f>SUMIFS('Vol. Carrières'!$M:$M,'Vol. Carrières'!$B:$B,'Vol. Carrières'!$B$113,'Vol. Carrières'!$D:$D,'Vol. Carrières'!$D$8)</f>
        <v>0</v>
      </c>
      <c r="N52" s="728">
        <f>SUMIFS('Vol. Carrières'!$N:$N,'Vol. Carrières'!$B:$B,'Vol. Carrières'!$B$113,'Vol. Carrières'!$D:$D,'Vol. Carrières'!$D$8)</f>
        <v>0</v>
      </c>
      <c r="O52" s="728">
        <f>SUMIFS('Vol. Carrières'!$O:$O,'Vol. Carrières'!$B:$B,'Vol. Carrières'!$B$113,'Vol. Carrières'!$D:$D,'Vol. Carrières'!$D$8)</f>
        <v>0</v>
      </c>
      <c r="P52" s="728">
        <f>SUMIFS('Vol. Carrières'!$P:$P,'Vol. Carrières'!$B:$B,'Vol. Carrières'!$B$113,'Vol. Carrières'!$D:$D,'Vol. Carrières'!$D$8)</f>
        <v>0</v>
      </c>
      <c r="Q52" s="731"/>
    </row>
    <row r="53" spans="1:17" ht="15.75" thickBot="1">
      <c r="A53" s="709" t="s">
        <v>2029</v>
      </c>
      <c r="B53" s="712" t="s">
        <v>69</v>
      </c>
      <c r="C53" s="1002"/>
      <c r="D53" s="729" t="s">
        <v>2074</v>
      </c>
      <c r="E53" s="730">
        <f>'[5]Vol. Carrières'!E121</f>
        <v>19715</v>
      </c>
      <c r="F53" s="730">
        <f>'[5]Vol. Carrières'!F121</f>
        <v>33259</v>
      </c>
      <c r="G53" s="730">
        <f>'[5]Vol. Carrières'!G121</f>
        <v>52898</v>
      </c>
      <c r="H53" s="730">
        <f>'[5]Vol. Carrières'!H121</f>
        <v>74209</v>
      </c>
      <c r="I53" s="730">
        <f>'[5]Vol. Carrières'!I121</f>
        <v>95525</v>
      </c>
      <c r="J53" s="730">
        <f>'[5]Vol. Carrières'!J121</f>
        <v>101257</v>
      </c>
      <c r="K53" s="730">
        <f>'[5]Vol. Carrières'!K121</f>
        <v>101257</v>
      </c>
      <c r="L53" s="730">
        <f>'[5]Vol. Carrières'!L121</f>
        <v>103923</v>
      </c>
      <c r="M53" s="730">
        <f>'[5]Vol. Carrières'!M121</f>
        <v>104583</v>
      </c>
      <c r="N53" s="730">
        <f>'[5]Vol. Carrières'!N121</f>
        <v>105445</v>
      </c>
      <c r="O53" s="730">
        <f>'[5]Vol. Carrières'!O121</f>
        <v>105445</v>
      </c>
      <c r="P53" s="730">
        <f>'[5]Vol. Carrières'!P121</f>
        <v>105445</v>
      </c>
      <c r="Q53" s="732"/>
    </row>
    <row r="54" spans="1:17" ht="15.75">
      <c r="A54" s="557" t="s">
        <v>2029</v>
      </c>
      <c r="B54" s="710" t="s">
        <v>68</v>
      </c>
      <c r="C54" s="685"/>
      <c r="D54" s="685"/>
      <c r="E54" s="687" t="s">
        <v>29</v>
      </c>
      <c r="F54" s="687" t="s">
        <v>30</v>
      </c>
      <c r="G54" s="687" t="s">
        <v>31</v>
      </c>
      <c r="H54" s="687" t="s">
        <v>32</v>
      </c>
      <c r="I54" s="687" t="s">
        <v>33</v>
      </c>
      <c r="J54" s="687" t="s">
        <v>34</v>
      </c>
      <c r="K54" s="687" t="s">
        <v>35</v>
      </c>
      <c r="L54" s="687" t="s">
        <v>65</v>
      </c>
      <c r="M54" s="687" t="s">
        <v>37</v>
      </c>
      <c r="N54" s="687" t="s">
        <v>38</v>
      </c>
      <c r="O54" s="687" t="s">
        <v>39</v>
      </c>
      <c r="P54" s="687" t="s">
        <v>40</v>
      </c>
      <c r="Q54" s="722" t="s">
        <v>3</v>
      </c>
    </row>
    <row r="55" spans="1:17">
      <c r="A55" s="708" t="s">
        <v>2029</v>
      </c>
      <c r="B55" s="711" t="s">
        <v>68</v>
      </c>
      <c r="C55" s="1000" t="s">
        <v>2024</v>
      </c>
      <c r="D55" s="723" t="s">
        <v>2018</v>
      </c>
      <c r="E55" s="724">
        <f>SUMIFS('Vol. Carrières'!$E:$E,'Vol. Carrières'!$B:$B,'Vol. Carrières'!$B$125,'Vol. Carrières'!$D:$D,'Vol. Carrières'!$D$8)</f>
        <v>0</v>
      </c>
      <c r="F55" s="725">
        <f>SUMIFS('Vol. Carrières'!$F:$F,'Vol. Carrières'!$B:$B,'Vol. Carrières'!$B$125,'Vol. Carrières'!$D:$D,'Vol. Carrières'!$D$8)</f>
        <v>0</v>
      </c>
      <c r="G55" s="725">
        <f>SUMIFS('Vol. Carrières'!$G:$G,'Vol. Carrières'!$B:$B,'Vol. Carrières'!$B$125,'Vol. Carrières'!$D:$D,'Vol. Carrières'!$D$8)</f>
        <v>0</v>
      </c>
      <c r="H55" s="725">
        <f>SUMIFS('Vol. Carrières'!$H:$H,'Vol. Carrières'!$B:$B,'Vol. Carrières'!$B$125,'Vol. Carrières'!$D:$D,'Vol. Carrières'!$D$8)</f>
        <v>0</v>
      </c>
      <c r="I55" s="725">
        <f>SUMIFS('Vol. Carrières'!$I:$I,'Vol. Carrières'!$B:$B,'Vol. Carrières'!$B$125,'Vol. Carrières'!$D:$D,'Vol. Carrières'!$D$8)</f>
        <v>0</v>
      </c>
      <c r="J55" s="725">
        <f>SUMIFS('Vol. Carrières'!$J:$J,'Vol. Carrières'!$B:$B,'Vol. Carrières'!$B$125,'Vol. Carrières'!$D:$D,'Vol. Carrières'!$D$8)</f>
        <v>0</v>
      </c>
      <c r="K55" s="725">
        <f>SUMIFS('Vol. Carrières'!$K:$K,'Vol. Carrières'!$B:$B,'Vol. Carrières'!$B$125,'Vol. Carrières'!$D:$D,'Vol. Carrières'!$D$8)</f>
        <v>0</v>
      </c>
      <c r="L55" s="725">
        <f>SUMIFS('Vol. Carrières'!$L:$L,'Vol. Carrières'!$B:$B,'Vol. Carrières'!$B$125,'Vol. Carrières'!$D:$D,'Vol. Carrières'!$D$8)</f>
        <v>0</v>
      </c>
      <c r="M55" s="725">
        <f>SUMIFS('Vol. Carrières'!$M:$M,'Vol. Carrières'!$B:$B,'Vol. Carrières'!$B$125,'Vol. Carrières'!$D:$D,'Vol. Carrières'!$D$8)</f>
        <v>0</v>
      </c>
      <c r="N55" s="725">
        <f>SUMIFS('Vol. Carrières'!$N:$N,'Vol. Carrières'!$B:$B,'Vol. Carrières'!$B$125,'Vol. Carrières'!$D:$D,'Vol. Carrières'!$D$8)</f>
        <v>0</v>
      </c>
      <c r="O55" s="725">
        <f>SUMIFS('Vol. Carrières'!$O:$O,'Vol. Carrières'!$B:$B,'Vol. Carrières'!$B$125,'Vol. Carrières'!$D:$D,'Vol. Carrières'!$D$8)</f>
        <v>0</v>
      </c>
      <c r="P55" s="725">
        <f>SUMIFS('Vol. Carrières'!$P:$P,'Vol. Carrières'!$B:$B,'Vol. Carrières'!$B$125,'Vol. Carrières'!$D:$D,'Vol. Carrières'!$D$8)</f>
        <v>0</v>
      </c>
      <c r="Q55" s="733">
        <f>SUM(E55:P55)</f>
        <v>0</v>
      </c>
    </row>
    <row r="56" spans="1:17">
      <c r="A56" s="708" t="s">
        <v>2029</v>
      </c>
      <c r="B56" s="711" t="s">
        <v>68</v>
      </c>
      <c r="C56" s="1000"/>
      <c r="D56" s="723" t="s">
        <v>2038</v>
      </c>
      <c r="E56" s="726">
        <f>'[5]Vol. Carrières'!E128</f>
        <v>0</v>
      </c>
      <c r="F56" s="726">
        <f>'[5]Vol. Carrières'!F128</f>
        <v>2283</v>
      </c>
      <c r="G56" s="726">
        <f>'[5]Vol. Carrières'!G128</f>
        <v>11993</v>
      </c>
      <c r="H56" s="726">
        <f>'[5]Vol. Carrières'!H128</f>
        <v>11977</v>
      </c>
      <c r="I56" s="726">
        <f>'[5]Vol. Carrières'!I128</f>
        <v>9342</v>
      </c>
      <c r="J56" s="726">
        <f>'[5]Vol. Carrières'!J128</f>
        <v>675</v>
      </c>
      <c r="K56" s="726">
        <f>'[5]Vol. Carrières'!K128</f>
        <v>2256</v>
      </c>
      <c r="L56" s="726">
        <f>'[5]Vol. Carrières'!L128</f>
        <v>0</v>
      </c>
      <c r="M56" s="726">
        <f>'[5]Vol. Carrières'!M128</f>
        <v>15279</v>
      </c>
      <c r="N56" s="726">
        <f>'[5]Vol. Carrières'!N128</f>
        <v>0</v>
      </c>
      <c r="O56" s="726">
        <f>'[5]Vol. Carrières'!O128</f>
        <v>0</v>
      </c>
      <c r="P56" s="726">
        <f>'[5]Vol. Carrières'!P128</f>
        <v>0</v>
      </c>
      <c r="Q56" s="734">
        <f>SUM(E56:P56)</f>
        <v>53805</v>
      </c>
    </row>
    <row r="57" spans="1:17">
      <c r="A57" s="708" t="s">
        <v>2029</v>
      </c>
      <c r="B57" s="711" t="s">
        <v>68</v>
      </c>
      <c r="C57" s="1001" t="s">
        <v>2047</v>
      </c>
      <c r="D57" s="727" t="s">
        <v>2073</v>
      </c>
      <c r="E57" s="728">
        <f>SUMIFS('Vol. Carrières'!$E:$E,'Vol. Carrières'!$B:$B,'Vol. Carrières'!$B$125,'Vol. Carrières'!$D:$D,'Vol. Carrières'!$D$13)</f>
        <v>0</v>
      </c>
      <c r="F57" s="728">
        <f>SUMIFS('Vol. Carrières'!$F:$F,'Vol. Carrières'!$B:$B,'Vol. Carrières'!$B$125,'Vol. Carrières'!$D:$D,'Vol. Carrières'!$D$13)</f>
        <v>0</v>
      </c>
      <c r="G57" s="728">
        <f>SUMIFS('Vol. Carrières'!$G:$G,'Vol. Carrières'!$B:$B,'Vol. Carrières'!$B$125,'Vol. Carrières'!$D:$D,'Vol. Carrières'!$D$13)</f>
        <v>0</v>
      </c>
      <c r="H57" s="728">
        <f>SUMIFS('Vol. Carrières'!$H:$H,'Vol. Carrières'!$B:$B,'Vol. Carrières'!$B$125,'Vol. Carrières'!$D:$D,'Vol. Carrières'!$D$13)</f>
        <v>0</v>
      </c>
      <c r="I57" s="728">
        <f>SUMIFS('Vol. Carrières'!$I:$I,'Vol. Carrières'!$B:$B,'Vol. Carrières'!$B$125,'Vol. Carrières'!$D:$D,'Vol. Carrières'!$D$13)</f>
        <v>0</v>
      </c>
      <c r="J57" s="728">
        <f>SUMIFS('Vol. Carrières'!$J:$J,'Vol. Carrières'!$B:$B,'Vol. Carrières'!$B$125,'Vol. Carrières'!$D:$D,'Vol. Carrières'!$D$13)</f>
        <v>0</v>
      </c>
      <c r="K57" s="728">
        <f>SUMIFS('Vol. Carrières'!$K:$K,'Vol. Carrières'!$B:$B,'Vol. Carrières'!$B$125,'Vol. Carrières'!$D:$D,'Vol. Carrières'!$D$13)</f>
        <v>0</v>
      </c>
      <c r="L57" s="728">
        <f>SUMIFS('Vol. Carrières'!$L:$L,'Vol. Carrières'!$B:$B,'Vol. Carrières'!$B$125,'Vol. Carrières'!$D:$D,'Vol. Carrières'!$D$13)</f>
        <v>0</v>
      </c>
      <c r="M57" s="728">
        <f>SUMIFS('Vol. Carrières'!$M:$M,'Vol. Carrières'!$B:$B,'Vol. Carrières'!$B$125,'Vol. Carrières'!$D:$D,'Vol. Carrières'!$D$13)</f>
        <v>0</v>
      </c>
      <c r="N57" s="728">
        <f>SUMIFS('Vol. Carrières'!$N:$N,'Vol. Carrières'!$B:$B,'Vol. Carrières'!$B$125,'Vol. Carrières'!$D:$D,'Vol. Carrières'!$D$13)</f>
        <v>0</v>
      </c>
      <c r="O57" s="728">
        <f>SUMIFS('Vol. Carrières'!$O:$O,'Vol. Carrières'!$B:$B,'Vol. Carrières'!$B$125,'Vol. Carrières'!$D:$D,'Vol. Carrières'!$D$13)</f>
        <v>0</v>
      </c>
      <c r="P57" s="728">
        <f>SUMIFS('Vol. Carrières'!$P:$P,'Vol. Carrières'!$B:$B,'Vol. Carrières'!$B$125,'Vol. Carrières'!$D:$D,'Vol. Carrières'!$D$13)</f>
        <v>0</v>
      </c>
      <c r="Q57" s="731"/>
    </row>
    <row r="58" spans="1:17" ht="15.75" thickBot="1">
      <c r="A58" s="709" t="s">
        <v>2029</v>
      </c>
      <c r="B58" s="712" t="s">
        <v>68</v>
      </c>
      <c r="C58" s="1002"/>
      <c r="D58" s="729" t="s">
        <v>2074</v>
      </c>
      <c r="E58" s="730">
        <f>'[5]Vol. Carrières'!E133</f>
        <v>0</v>
      </c>
      <c r="F58" s="730">
        <f>'[5]Vol. Carrières'!F133</f>
        <v>2283</v>
      </c>
      <c r="G58" s="730">
        <f>'[5]Vol. Carrières'!G133</f>
        <v>14276</v>
      </c>
      <c r="H58" s="730">
        <f>'[5]Vol. Carrières'!H133</f>
        <v>26253</v>
      </c>
      <c r="I58" s="730">
        <f>'[5]Vol. Carrières'!I133</f>
        <v>35595</v>
      </c>
      <c r="J58" s="730">
        <f>'[5]Vol. Carrières'!J133</f>
        <v>36270</v>
      </c>
      <c r="K58" s="730">
        <f>'[5]Vol. Carrières'!K133</f>
        <v>38526</v>
      </c>
      <c r="L58" s="730">
        <f>'[5]Vol. Carrières'!L133</f>
        <v>38526</v>
      </c>
      <c r="M58" s="730">
        <f>'[5]Vol. Carrières'!M133</f>
        <v>53805</v>
      </c>
      <c r="N58" s="730">
        <f>'[5]Vol. Carrières'!N133</f>
        <v>53805</v>
      </c>
      <c r="O58" s="730">
        <f>'[5]Vol. Carrières'!O133</f>
        <v>53805</v>
      </c>
      <c r="P58" s="730">
        <f>'[5]Vol. Carrières'!P133</f>
        <v>53805</v>
      </c>
      <c r="Q58" s="732"/>
    </row>
    <row r="59" spans="1:17" ht="15.75">
      <c r="A59" s="557" t="s">
        <v>2029</v>
      </c>
      <c r="B59" s="710" t="s">
        <v>64</v>
      </c>
      <c r="C59" s="685"/>
      <c r="D59" s="685"/>
      <c r="E59" s="687" t="s">
        <v>29</v>
      </c>
      <c r="F59" s="687" t="s">
        <v>30</v>
      </c>
      <c r="G59" s="687" t="s">
        <v>31</v>
      </c>
      <c r="H59" s="687" t="s">
        <v>32</v>
      </c>
      <c r="I59" s="687" t="s">
        <v>33</v>
      </c>
      <c r="J59" s="687" t="s">
        <v>34</v>
      </c>
      <c r="K59" s="687" t="s">
        <v>35</v>
      </c>
      <c r="L59" s="687" t="s">
        <v>65</v>
      </c>
      <c r="M59" s="687" t="s">
        <v>37</v>
      </c>
      <c r="N59" s="687" t="s">
        <v>38</v>
      </c>
      <c r="O59" s="687" t="s">
        <v>39</v>
      </c>
      <c r="P59" s="687" t="s">
        <v>40</v>
      </c>
      <c r="Q59" s="722" t="s">
        <v>3</v>
      </c>
    </row>
    <row r="60" spans="1:17">
      <c r="A60" s="708" t="s">
        <v>2029</v>
      </c>
      <c r="B60" s="711" t="s">
        <v>64</v>
      </c>
      <c r="C60" s="1000" t="s">
        <v>2024</v>
      </c>
      <c r="D60" s="723" t="s">
        <v>2018</v>
      </c>
      <c r="E60" s="724">
        <f>SUMIFS('Vol. Carrières'!$E:$E,'Vol. Carrières'!$B:$B,'Vol. Carrières'!$B$137,'Vol. Carrières'!$D:$D,'Vol. Carrières'!$D$8)</f>
        <v>4806</v>
      </c>
      <c r="F60" s="725">
        <f>SUMIFS('Vol. Carrières'!$F:$F,'Vol. Carrières'!$B:$B,'Vol. Carrières'!$B$137,'Vol. Carrières'!$D:$D,'Vol. Carrières'!$D$8)</f>
        <v>20431</v>
      </c>
      <c r="G60" s="725">
        <f>SUMIFS('Vol. Carrières'!$G:$G,'Vol. Carrières'!$B:$B,'Vol. Carrières'!$B$137,'Vol. Carrières'!$D:$D,'Vol. Carrières'!$D$8)</f>
        <v>19120</v>
      </c>
      <c r="H60" s="725">
        <f>SUMIFS('Vol. Carrières'!$H:$H,'Vol. Carrières'!$B:$B,'Vol. Carrières'!$B$137,'Vol. Carrières'!$D:$D,'Vol. Carrières'!$D$8)</f>
        <v>0</v>
      </c>
      <c r="I60" s="725">
        <f>SUMIFS('Vol. Carrières'!$I:$I,'Vol. Carrières'!$B:$B,'Vol. Carrières'!$B$137,'Vol. Carrières'!$D:$D,'Vol. Carrières'!$D$8)</f>
        <v>0</v>
      </c>
      <c r="J60" s="725">
        <f>SUMIFS('Vol. Carrières'!$J:$J,'Vol. Carrières'!$B:$B,'Vol. Carrières'!$B$137,'Vol. Carrières'!$D:$D,'Vol. Carrières'!$D$8)</f>
        <v>0</v>
      </c>
      <c r="K60" s="725">
        <f>SUMIFS('Vol. Carrières'!$K:$K,'Vol. Carrières'!$B:$B,'Vol. Carrières'!$B$137,'Vol. Carrières'!$D:$D,'Vol. Carrières'!$D$8)</f>
        <v>0</v>
      </c>
      <c r="L60" s="725">
        <f>SUMIFS('Vol. Carrières'!$L:$L,'Vol. Carrières'!$B:$B,'Vol. Carrières'!$B$137,'Vol. Carrières'!$D:$D,'Vol. Carrières'!$D$8)</f>
        <v>0</v>
      </c>
      <c r="M60" s="725">
        <f>SUMIFS('Vol. Carrières'!$M:$M,'Vol. Carrières'!$B:$B,'Vol. Carrières'!$B$137,'Vol. Carrières'!$D:$D,'Vol. Carrières'!$D$8)</f>
        <v>0</v>
      </c>
      <c r="N60" s="725">
        <f>SUMIFS('Vol. Carrières'!$N:$N,'Vol. Carrières'!$B:$B,'Vol. Carrières'!$B$137,'Vol. Carrières'!$D:$D,'Vol. Carrières'!$D$8)</f>
        <v>0</v>
      </c>
      <c r="O60" s="725">
        <f>SUMIFS('Vol. Carrières'!$O:$O,'Vol. Carrières'!$B:$B,'Vol. Carrières'!$B$137,'Vol. Carrières'!$D:$D,'Vol. Carrières'!$D$8)</f>
        <v>0</v>
      </c>
      <c r="P60" s="725">
        <f>SUMIFS('Vol. Carrières'!$P:$P,'Vol. Carrières'!$B:$B,'Vol. Carrières'!$B$137,'Vol. Carrières'!$D:$D,'Vol. Carrières'!$D$8)</f>
        <v>0</v>
      </c>
      <c r="Q60" s="733">
        <f>SUM(E60:P60)</f>
        <v>44357</v>
      </c>
    </row>
    <row r="61" spans="1:17">
      <c r="A61" s="708" t="s">
        <v>2029</v>
      </c>
      <c r="B61" s="711" t="s">
        <v>64</v>
      </c>
      <c r="C61" s="1000"/>
      <c r="D61" s="723" t="s">
        <v>2038</v>
      </c>
      <c r="E61" s="726">
        <f>'[5]Vol. Carrières'!E140</f>
        <v>4482</v>
      </c>
      <c r="F61" s="726">
        <f>'[5]Vol. Carrières'!F140</f>
        <v>26675</v>
      </c>
      <c r="G61" s="726">
        <f>'[5]Vol. Carrières'!G140</f>
        <v>44962</v>
      </c>
      <c r="H61" s="726">
        <f>'[5]Vol. Carrières'!H140</f>
        <v>32106</v>
      </c>
      <c r="I61" s="726">
        <f>'[5]Vol. Carrières'!I140</f>
        <v>19421</v>
      </c>
      <c r="J61" s="726">
        <f>'[5]Vol. Carrières'!J140</f>
        <v>25225</v>
      </c>
      <c r="K61" s="726">
        <f>'[5]Vol. Carrières'!K140</f>
        <v>12382</v>
      </c>
      <c r="L61" s="726">
        <f>'[5]Vol. Carrières'!L140</f>
        <v>16280</v>
      </c>
      <c r="M61" s="726">
        <f>'[5]Vol. Carrières'!M140</f>
        <v>20589</v>
      </c>
      <c r="N61" s="726">
        <f>'[5]Vol. Carrières'!N140</f>
        <v>17811</v>
      </c>
      <c r="O61" s="726">
        <f>'[5]Vol. Carrières'!O140</f>
        <v>15623</v>
      </c>
      <c r="P61" s="726">
        <f>'[5]Vol. Carrières'!P140</f>
        <v>2023</v>
      </c>
      <c r="Q61" s="734">
        <f>SUM(E61:P61)</f>
        <v>237579</v>
      </c>
    </row>
    <row r="62" spans="1:17">
      <c r="A62" s="708" t="s">
        <v>2029</v>
      </c>
      <c r="B62" s="711" t="s">
        <v>64</v>
      </c>
      <c r="C62" s="1001" t="s">
        <v>2047</v>
      </c>
      <c r="D62" s="727" t="s">
        <v>2073</v>
      </c>
      <c r="E62" s="728">
        <f>SUMIFS('Vol. Carrières'!$E:$E,'Vol. Carrières'!$B:$B,'Vol. Carrières'!$B$137,'Vol. Carrières'!$D:$D,'Vol. Carrières'!$D$25)</f>
        <v>4806</v>
      </c>
      <c r="F62" s="728">
        <f>SUMIFS('Vol. Carrières'!$F:$F,'Vol. Carrières'!$B:$B,'Vol. Carrières'!$B$137,'Vol. Carrières'!$D:$D,'Vol. Carrières'!$D$25)</f>
        <v>25237</v>
      </c>
      <c r="G62" s="728">
        <f>SUMIFS('Vol. Carrières'!$G:$G,'Vol. Carrières'!$B:$B,'Vol. Carrières'!$B$137,'Vol. Carrières'!$D:$D,'Vol. Carrières'!$D$25)</f>
        <v>44357</v>
      </c>
      <c r="H62" s="728">
        <f>SUMIFS('Vol. Carrières'!$H:$H,'Vol. Carrières'!$B:$B,'Vol. Carrières'!$B$137,'Vol. Carrières'!$D:$D,'Vol. Carrières'!$D$25)</f>
        <v>44357</v>
      </c>
      <c r="I62" s="728">
        <f>SUMIFS('Vol. Carrières'!$I:$I,'Vol. Carrières'!$B:$B,'Vol. Carrières'!$B$137,'Vol. Carrières'!$D:$D,'Vol. Carrières'!$D$25)</f>
        <v>44357</v>
      </c>
      <c r="J62" s="728">
        <f>SUMIFS('Vol. Carrières'!$J:$J,'Vol. Carrières'!$B:$B,'Vol. Carrières'!$B$137,'Vol. Carrières'!$D:$D,'Vol. Carrières'!$D$25)</f>
        <v>44357</v>
      </c>
      <c r="K62" s="728">
        <f>SUMIFS('Vol. Carrières'!$K:$K,'Vol. Carrières'!$B:$B,'Vol. Carrières'!$B$137,'Vol. Carrières'!$D:$D,'Vol. Carrières'!$D$25)</f>
        <v>44357</v>
      </c>
      <c r="L62" s="728">
        <f>SUMIFS('Vol. Carrières'!$L:$L,'Vol. Carrières'!$B:$B,'Vol. Carrières'!$B$137,'Vol. Carrières'!$D:$D,'Vol. Carrières'!$D$25)</f>
        <v>44357</v>
      </c>
      <c r="M62" s="728">
        <f>SUMIFS('Vol. Carrières'!$M:$M,'Vol. Carrières'!$B:$B,'Vol. Carrières'!$B$137,'Vol. Carrières'!$D:$D,'Vol. Carrières'!$D$25)</f>
        <v>44357</v>
      </c>
      <c r="N62" s="728">
        <f>SUMIFS('Vol. Carrières'!$N:$N,'Vol. Carrières'!$B:$B,'Vol. Carrières'!$B$137,'Vol. Carrières'!$D:$D,'Vol. Carrières'!$D$25)</f>
        <v>44357</v>
      </c>
      <c r="O62" s="728">
        <f>SUMIFS('Vol. Carrières'!$O:$O,'Vol. Carrières'!$B:$B,'Vol. Carrières'!$B$137,'Vol. Carrières'!$D:$D,'Vol. Carrières'!$D$25)</f>
        <v>44357</v>
      </c>
      <c r="P62" s="728">
        <f>SUMIFS('Vol. Carrières'!$P:$P,'Vol. Carrières'!$B:$B,'Vol. Carrières'!$B$137,'Vol. Carrières'!$D:$D,'Vol. Carrières'!$D$25)</f>
        <v>44357</v>
      </c>
      <c r="Q62" s="731"/>
    </row>
    <row r="63" spans="1:17" ht="15.75" thickBot="1">
      <c r="A63" s="709" t="s">
        <v>2029</v>
      </c>
      <c r="B63" s="712" t="s">
        <v>64</v>
      </c>
      <c r="C63" s="1002"/>
      <c r="D63" s="729" t="s">
        <v>2074</v>
      </c>
      <c r="E63" s="730">
        <f>'[5]Vol. Carrières'!E145</f>
        <v>4482</v>
      </c>
      <c r="F63" s="730">
        <f>'[5]Vol. Carrières'!F145</f>
        <v>31157</v>
      </c>
      <c r="G63" s="730">
        <f>'[5]Vol. Carrières'!G145</f>
        <v>76119</v>
      </c>
      <c r="H63" s="730">
        <f>'[5]Vol. Carrières'!H145</f>
        <v>108225</v>
      </c>
      <c r="I63" s="730">
        <f>'[5]Vol. Carrières'!I145</f>
        <v>127646</v>
      </c>
      <c r="J63" s="730">
        <f>'[5]Vol. Carrières'!J145</f>
        <v>152871</v>
      </c>
      <c r="K63" s="730">
        <f>'[5]Vol. Carrières'!K145</f>
        <v>165253</v>
      </c>
      <c r="L63" s="730">
        <f>'[5]Vol. Carrières'!L145</f>
        <v>181533</v>
      </c>
      <c r="M63" s="730">
        <f>'[5]Vol. Carrières'!M145</f>
        <v>202122</v>
      </c>
      <c r="N63" s="730">
        <f>'[5]Vol. Carrières'!N145</f>
        <v>219933</v>
      </c>
      <c r="O63" s="730">
        <f>'[5]Vol. Carrières'!O145</f>
        <v>235556</v>
      </c>
      <c r="P63" s="730">
        <f>'[5]Vol. Carrières'!P145</f>
        <v>237579</v>
      </c>
      <c r="Q63" s="732"/>
    </row>
    <row r="64" spans="1:17" ht="15.75">
      <c r="A64" s="557" t="s">
        <v>2029</v>
      </c>
      <c r="B64" s="710" t="s">
        <v>70</v>
      </c>
      <c r="C64" s="685"/>
      <c r="D64" s="685"/>
      <c r="E64" s="687" t="s">
        <v>29</v>
      </c>
      <c r="F64" s="687" t="s">
        <v>30</v>
      </c>
      <c r="G64" s="687" t="s">
        <v>31</v>
      </c>
      <c r="H64" s="687" t="s">
        <v>32</v>
      </c>
      <c r="I64" s="687" t="s">
        <v>33</v>
      </c>
      <c r="J64" s="687" t="s">
        <v>34</v>
      </c>
      <c r="K64" s="687" t="s">
        <v>35</v>
      </c>
      <c r="L64" s="687" t="s">
        <v>65</v>
      </c>
      <c r="M64" s="687" t="s">
        <v>37</v>
      </c>
      <c r="N64" s="687" t="s">
        <v>38</v>
      </c>
      <c r="O64" s="687" t="s">
        <v>39</v>
      </c>
      <c r="P64" s="687" t="s">
        <v>40</v>
      </c>
      <c r="Q64" s="722" t="s">
        <v>3</v>
      </c>
    </row>
    <row r="65" spans="1:17">
      <c r="A65" s="708" t="s">
        <v>2029</v>
      </c>
      <c r="B65" s="711" t="s">
        <v>70</v>
      </c>
      <c r="C65" s="1000" t="s">
        <v>2024</v>
      </c>
      <c r="D65" s="723" t="s">
        <v>2018</v>
      </c>
      <c r="E65" s="724">
        <f>SUMIFS('Vol. Carrières'!$E:$E,'Vol. Carrières'!$B:$B,'Vol. Carrières'!$B$149,'Vol. Carrières'!$D:$D,'Vol. Carrières'!$D$8)</f>
        <v>36553</v>
      </c>
      <c r="F65" s="725">
        <f>SUMIFS('Vol. Carrières'!$F:$F,'Vol. Carrières'!$B:$B,'Vol. Carrières'!$B$149,'Vol. Carrières'!$D:$D,'Vol. Carrières'!$D$8)</f>
        <v>38686</v>
      </c>
      <c r="G65" s="725">
        <f>SUMIFS('Vol. Carrières'!$G:$G,'Vol. Carrières'!$B:$B,'Vol. Carrières'!$B$149,'Vol. Carrières'!$D:$D,'Vol. Carrières'!$D$8)</f>
        <v>15111</v>
      </c>
      <c r="H65" s="725">
        <f>SUMIFS('Vol. Carrières'!$H:$H,'Vol. Carrières'!$B:$B,'Vol. Carrières'!$B$149,'Vol. Carrières'!$D:$D,'Vol. Carrières'!$D$8)</f>
        <v>0</v>
      </c>
      <c r="I65" s="725">
        <f>SUMIFS('Vol. Carrières'!$I:$I,'Vol. Carrières'!$B:$B,'Vol. Carrières'!$B$149,'Vol. Carrières'!$D:$D,'Vol. Carrières'!$D$8)</f>
        <v>0</v>
      </c>
      <c r="J65" s="725">
        <f>SUMIFS('Vol. Carrières'!$J:$J,'Vol. Carrières'!$B:$B,'Vol. Carrières'!$B$149,'Vol. Carrières'!$D:$D,'Vol. Carrières'!$D$8)</f>
        <v>0</v>
      </c>
      <c r="K65" s="725">
        <f>SUMIFS('Vol. Carrières'!$K:$K,'Vol. Carrières'!$B:$B,'Vol. Carrières'!$B$149,'Vol. Carrières'!$D:$D,'Vol. Carrières'!$D$8)</f>
        <v>0</v>
      </c>
      <c r="L65" s="725">
        <f>SUMIFS('Vol. Carrières'!$L:$L,'Vol. Carrières'!$B:$B,'Vol. Carrières'!$B$149,'Vol. Carrières'!$D:$D,'Vol. Carrières'!$D$8)</f>
        <v>0</v>
      </c>
      <c r="M65" s="725">
        <f>SUMIFS('Vol. Carrières'!$M:$M,'Vol. Carrières'!$B:$B,'Vol. Carrières'!$B$149,'Vol. Carrières'!$D:$D,'Vol. Carrières'!$D$8)</f>
        <v>0</v>
      </c>
      <c r="N65" s="725">
        <f>SUMIFS('Vol. Carrières'!$N:$N,'Vol. Carrières'!$B:$B,'Vol. Carrières'!$B$149,'Vol. Carrières'!$D:$D,'Vol. Carrières'!$D$8)</f>
        <v>0</v>
      </c>
      <c r="O65" s="725">
        <f>SUMIFS('Vol. Carrières'!$O:$O,'Vol. Carrières'!$B:$B,'Vol. Carrières'!$B$149,'Vol. Carrières'!$D:$D,'Vol. Carrières'!$D$8)</f>
        <v>0</v>
      </c>
      <c r="P65" s="725">
        <f>SUMIFS('Vol. Carrières'!$P:$P,'Vol. Carrières'!$B:$B,'Vol. Carrières'!$B$149,'Vol. Carrières'!$D:$D,'Vol. Carrières'!$D$8)</f>
        <v>0</v>
      </c>
      <c r="Q65" s="733">
        <f>SUM(E65:P65)</f>
        <v>90350</v>
      </c>
    </row>
    <row r="66" spans="1:17">
      <c r="A66" s="708" t="s">
        <v>2029</v>
      </c>
      <c r="B66" s="711" t="s">
        <v>70</v>
      </c>
      <c r="C66" s="1000"/>
      <c r="D66" s="723" t="s">
        <v>2038</v>
      </c>
      <c r="E66" s="726">
        <f>'[5]Vol. Carrières'!E152</f>
        <v>4429</v>
      </c>
      <c r="F66" s="726">
        <f>'[5]Vol. Carrières'!F152</f>
        <v>4427</v>
      </c>
      <c r="G66" s="726">
        <f>'[5]Vol. Carrières'!G152</f>
        <v>7035</v>
      </c>
      <c r="H66" s="726">
        <f>'[5]Vol. Carrières'!H152</f>
        <v>25816</v>
      </c>
      <c r="I66" s="726">
        <f>'[5]Vol. Carrières'!I152</f>
        <v>5693</v>
      </c>
      <c r="J66" s="726">
        <f>'[5]Vol. Carrières'!J152</f>
        <v>0</v>
      </c>
      <c r="K66" s="726">
        <f>'[5]Vol. Carrières'!K152</f>
        <v>2951</v>
      </c>
      <c r="L66" s="726">
        <f>'[5]Vol. Carrières'!L152</f>
        <v>8603</v>
      </c>
      <c r="M66" s="726">
        <f>'[5]Vol. Carrières'!M152</f>
        <v>11494</v>
      </c>
      <c r="N66" s="726">
        <f>'[5]Vol. Carrières'!N152</f>
        <v>16030</v>
      </c>
      <c r="O66" s="726">
        <f>'[5]Vol. Carrières'!O152</f>
        <v>6300</v>
      </c>
      <c r="P66" s="726">
        <f>'[5]Vol. Carrières'!P152</f>
        <v>4928</v>
      </c>
      <c r="Q66" s="734">
        <f>SUM(E66:P66)</f>
        <v>97706</v>
      </c>
    </row>
    <row r="67" spans="1:17">
      <c r="A67" s="708" t="s">
        <v>2029</v>
      </c>
      <c r="B67" s="711" t="s">
        <v>70</v>
      </c>
      <c r="C67" s="1001" t="s">
        <v>2047</v>
      </c>
      <c r="D67" s="727" t="s">
        <v>2073</v>
      </c>
      <c r="E67" s="728">
        <f>SUMIFS('Vol. Carrières'!$E:$E,'Vol. Carrières'!$B:$B,'Vol. Carrières'!$B$149,'Vol. Carrières'!$D:$D,'Vol. Carrières'!$D$37)</f>
        <v>36553</v>
      </c>
      <c r="F67" s="728">
        <f>SUMIFS('Vol. Carrières'!$F:$F,'Vol. Carrières'!$B:$B,'Vol. Carrières'!$B$149,'Vol. Carrières'!$D:$D,'Vol. Carrières'!$D$37)</f>
        <v>75239</v>
      </c>
      <c r="G67" s="728">
        <f>SUMIFS('Vol. Carrières'!$G:$G,'Vol. Carrières'!$B:$B,'Vol. Carrières'!$B$149,'Vol. Carrières'!$D:$D,'Vol. Carrières'!$D$37)</f>
        <v>90350</v>
      </c>
      <c r="H67" s="728">
        <f>SUMIFS('Vol. Carrières'!$H:$H,'Vol. Carrières'!$B:$B,'Vol. Carrières'!$B$149,'Vol. Carrières'!$D:$D,'Vol. Carrières'!$D$37)</f>
        <v>90350</v>
      </c>
      <c r="I67" s="728">
        <f>SUMIFS('Vol. Carrières'!$I:$I,'Vol. Carrières'!$B:$B,'Vol. Carrières'!$B$149,'Vol. Carrières'!$D:$D,'Vol. Carrières'!$D$37)</f>
        <v>90350</v>
      </c>
      <c r="J67" s="728">
        <f>SUMIFS('Vol. Carrières'!$J:$J,'Vol. Carrières'!$B:$B,'Vol. Carrières'!$B$149,'Vol. Carrières'!$D:$D,'Vol. Carrières'!$D$37)</f>
        <v>90350</v>
      </c>
      <c r="K67" s="728">
        <f>SUMIFS('Vol. Carrières'!$K:$K,'Vol. Carrières'!$B:$B,'Vol. Carrières'!$B$149,'Vol. Carrières'!$D:$D,'Vol. Carrières'!$D$37)</f>
        <v>90350</v>
      </c>
      <c r="L67" s="728">
        <f>SUMIFS('Vol. Carrières'!$L:$L,'Vol. Carrières'!$B:$B,'Vol. Carrières'!$B$149,'Vol. Carrières'!$D:$D,'Vol. Carrières'!$D$37)</f>
        <v>90350</v>
      </c>
      <c r="M67" s="728">
        <f>SUMIFS('Vol. Carrières'!$M:$M,'Vol. Carrières'!$B:$B,'Vol. Carrières'!$B$149,'Vol. Carrières'!$D:$D,'Vol. Carrières'!$D$37)</f>
        <v>90350</v>
      </c>
      <c r="N67" s="728">
        <f>SUMIFS('Vol. Carrières'!$N:$N,'Vol. Carrières'!$B:$B,'Vol. Carrières'!$B$149,'Vol. Carrières'!$D:$D,'Vol. Carrières'!$D$37)</f>
        <v>90350</v>
      </c>
      <c r="O67" s="728">
        <f>SUMIFS('Vol. Carrières'!$O:$O,'Vol. Carrières'!$B:$B,'Vol. Carrières'!$B$149,'Vol. Carrières'!$D:$D,'Vol. Carrières'!$D$37)</f>
        <v>90350</v>
      </c>
      <c r="P67" s="728">
        <f>SUMIFS('Vol. Carrières'!$P:$P,'Vol. Carrières'!$B:$B,'Vol. Carrières'!$B$149,'Vol. Carrières'!$D:$D,'Vol. Carrières'!$D$37)</f>
        <v>90350</v>
      </c>
      <c r="Q67" s="731"/>
    </row>
    <row r="68" spans="1:17" ht="15.75" thickBot="1">
      <c r="A68" s="709" t="s">
        <v>2029</v>
      </c>
      <c r="B68" s="712" t="s">
        <v>70</v>
      </c>
      <c r="C68" s="1002"/>
      <c r="D68" s="729" t="s">
        <v>2074</v>
      </c>
      <c r="E68" s="730">
        <f>'[5]Vol. Carrières'!E157</f>
        <v>4429</v>
      </c>
      <c r="F68" s="730">
        <f>'[5]Vol. Carrières'!F157</f>
        <v>8856</v>
      </c>
      <c r="G68" s="730">
        <f>'[5]Vol. Carrières'!G157</f>
        <v>15891</v>
      </c>
      <c r="H68" s="730">
        <f>'[5]Vol. Carrières'!H157</f>
        <v>41707</v>
      </c>
      <c r="I68" s="730">
        <f>'[5]Vol. Carrières'!I157</f>
        <v>47400</v>
      </c>
      <c r="J68" s="730">
        <f>'[5]Vol. Carrières'!J157</f>
        <v>47400</v>
      </c>
      <c r="K68" s="730">
        <f>'[5]Vol. Carrières'!K157</f>
        <v>50351</v>
      </c>
      <c r="L68" s="730">
        <f>'[5]Vol. Carrières'!L157</f>
        <v>58954</v>
      </c>
      <c r="M68" s="730">
        <f>'[5]Vol. Carrières'!M157</f>
        <v>70448</v>
      </c>
      <c r="N68" s="730">
        <f>'[5]Vol. Carrières'!N157</f>
        <v>86478</v>
      </c>
      <c r="O68" s="730">
        <f>'[5]Vol. Carrières'!O157</f>
        <v>92778</v>
      </c>
      <c r="P68" s="730">
        <f>'[5]Vol. Carrières'!P157</f>
        <v>97706</v>
      </c>
      <c r="Q68" s="732"/>
    </row>
    <row r="69" spans="1:17" ht="15.75">
      <c r="A69" s="560" t="s">
        <v>91</v>
      </c>
      <c r="B69" s="710" t="s">
        <v>1913</v>
      </c>
      <c r="C69" s="685"/>
      <c r="D69" s="685"/>
      <c r="E69" s="687" t="s">
        <v>29</v>
      </c>
      <c r="F69" s="687" t="s">
        <v>30</v>
      </c>
      <c r="G69" s="687" t="s">
        <v>31</v>
      </c>
      <c r="H69" s="687" t="s">
        <v>32</v>
      </c>
      <c r="I69" s="687" t="s">
        <v>33</v>
      </c>
      <c r="J69" s="687" t="s">
        <v>34</v>
      </c>
      <c r="K69" s="687" t="s">
        <v>35</v>
      </c>
      <c r="L69" s="687" t="s">
        <v>65</v>
      </c>
      <c r="M69" s="687" t="s">
        <v>37</v>
      </c>
      <c r="N69" s="687" t="s">
        <v>38</v>
      </c>
      <c r="O69" s="687" t="s">
        <v>39</v>
      </c>
      <c r="P69" s="687" t="s">
        <v>40</v>
      </c>
      <c r="Q69" s="722" t="s">
        <v>3</v>
      </c>
    </row>
    <row r="70" spans="1:17">
      <c r="A70" s="713" t="s">
        <v>91</v>
      </c>
      <c r="B70" s="711" t="s">
        <v>1913</v>
      </c>
      <c r="C70" s="1000" t="s">
        <v>2024</v>
      </c>
      <c r="D70" s="723" t="s">
        <v>2018</v>
      </c>
      <c r="E70" s="724">
        <f>SUMIFS('Vol. Carrières'!E:E,'Vol. Carrières'!$B:$B,'Vol. Carrières'!$B$161,'Vol. Carrières'!$D:$D,'Vol. Carrières'!$D$8)</f>
        <v>27552</v>
      </c>
      <c r="F70" s="725">
        <f>SUMIFS('Vol. Carrières'!F:F,'Vol. Carrières'!$B:$B,'Vol. Carrières'!$B$161,'Vol. Carrières'!$D:$D,'Vol. Carrières'!$D$8)</f>
        <v>22118</v>
      </c>
      <c r="G70" s="725">
        <f>SUMIFS('Vol. Carrières'!G:G,'Vol. Carrières'!$B:$B,'Vol. Carrières'!$B$161,'Vol. Carrières'!$D:$D,'Vol. Carrières'!$D$8)</f>
        <v>29343</v>
      </c>
      <c r="H70" s="725">
        <f>SUMIFS('Vol. Carrières'!H:H,'Vol. Carrières'!$B:$B,'Vol. Carrières'!$B$161,'Vol. Carrières'!$D:$D,'Vol. Carrières'!$D$8)</f>
        <v>0</v>
      </c>
      <c r="I70" s="725">
        <f>SUMIFS('Vol. Carrières'!I:I,'Vol. Carrières'!$B:$B,'Vol. Carrières'!$B$161,'Vol. Carrières'!$D:$D,'Vol. Carrières'!$D$8)</f>
        <v>0</v>
      </c>
      <c r="J70" s="725">
        <f>SUMIFS('Vol. Carrières'!J:J,'Vol. Carrières'!$B:$B,'Vol. Carrières'!$B$161,'Vol. Carrières'!$D:$D,'Vol. Carrières'!$D$8)</f>
        <v>0</v>
      </c>
      <c r="K70" s="725">
        <f>SUMIFS('Vol. Carrières'!K:K,'Vol. Carrières'!$B:$B,'Vol. Carrières'!$B$161,'Vol. Carrières'!$D:$D,'Vol. Carrières'!$D$8)</f>
        <v>0</v>
      </c>
      <c r="L70" s="725">
        <f>SUMIFS('Vol. Carrières'!L:L,'Vol. Carrières'!$B:$B,'Vol. Carrières'!$B$161,'Vol. Carrières'!$D:$D,'Vol. Carrières'!$D$8)</f>
        <v>0</v>
      </c>
      <c r="M70" s="725">
        <f>SUMIFS('Vol. Carrières'!M:M,'Vol. Carrières'!$B:$B,'Vol. Carrières'!$B$161,'Vol. Carrières'!$D:$D,'Vol. Carrières'!$D$8)</f>
        <v>0</v>
      </c>
      <c r="N70" s="725">
        <f>SUMIFS('Vol. Carrières'!N:N,'Vol. Carrières'!$B:$B,'Vol. Carrières'!$B$161,'Vol. Carrières'!$D:$D,'Vol. Carrières'!$D$8)</f>
        <v>0</v>
      </c>
      <c r="O70" s="725">
        <f>SUMIFS('Vol. Carrières'!O:O,'Vol. Carrières'!$B:$B,'Vol. Carrières'!$B$161,'Vol. Carrières'!$D:$D,'Vol. Carrières'!$D$8)</f>
        <v>0</v>
      </c>
      <c r="P70" s="725">
        <f>SUMIFS('Vol. Carrières'!P:P,'Vol. Carrières'!$B:$B,'Vol. Carrières'!$B$161,'Vol. Carrières'!$D:$D,'Vol. Carrières'!$D$8)</f>
        <v>0</v>
      </c>
      <c r="Q70" s="733">
        <f>SUM(E70:P70)</f>
        <v>79013</v>
      </c>
    </row>
    <row r="71" spans="1:17">
      <c r="A71" s="713" t="s">
        <v>91</v>
      </c>
      <c r="B71" s="711" t="s">
        <v>1913</v>
      </c>
      <c r="C71" s="1000"/>
      <c r="D71" s="723" t="s">
        <v>2038</v>
      </c>
      <c r="E71" s="726">
        <f>'[5]Vol. Carrières'!E164</f>
        <v>25168</v>
      </c>
      <c r="F71" s="726">
        <f>'[5]Vol. Carrières'!F164</f>
        <v>23485</v>
      </c>
      <c r="G71" s="726">
        <f>'[5]Vol. Carrières'!G164</f>
        <v>10865</v>
      </c>
      <c r="H71" s="726">
        <f>'[5]Vol. Carrières'!H164</f>
        <v>22188</v>
      </c>
      <c r="I71" s="726">
        <f>'[5]Vol. Carrières'!I164</f>
        <v>5721</v>
      </c>
      <c r="J71" s="726">
        <f>'[5]Vol. Carrières'!J164</f>
        <v>18330</v>
      </c>
      <c r="K71" s="726">
        <f>'[5]Vol. Carrières'!K164</f>
        <v>27120</v>
      </c>
      <c r="L71" s="726">
        <f>'[5]Vol. Carrières'!L164</f>
        <v>24983</v>
      </c>
      <c r="M71" s="726">
        <f>'[5]Vol. Carrières'!M164</f>
        <v>25552</v>
      </c>
      <c r="N71" s="726">
        <f>'[5]Vol. Carrières'!N164</f>
        <v>27490</v>
      </c>
      <c r="O71" s="726">
        <f>'[5]Vol. Carrières'!O164</f>
        <v>21427</v>
      </c>
      <c r="P71" s="726">
        <f>'[5]Vol. Carrières'!P164</f>
        <v>32245</v>
      </c>
      <c r="Q71" s="734">
        <f>SUM(E71:P71)</f>
        <v>264574</v>
      </c>
    </row>
    <row r="72" spans="1:17">
      <c r="A72" s="713" t="s">
        <v>91</v>
      </c>
      <c r="B72" s="711" t="s">
        <v>1913</v>
      </c>
      <c r="C72" s="1001" t="s">
        <v>2047</v>
      </c>
      <c r="D72" s="727" t="s">
        <v>2073</v>
      </c>
      <c r="E72" s="728">
        <f>SUMIFS('Vol. Carrières'!E:E,'Vol. Carrières'!$B:$B,'Vol. Carrières'!$B$161,'Vol. Carrières'!$D:$D,'Vol. Carrières'!$D$169)</f>
        <v>27552</v>
      </c>
      <c r="F72" s="728">
        <f>SUMIFS('Vol. Carrières'!F:F,'Vol. Carrières'!$B:$B,'Vol. Carrières'!$B$161,'Vol. Carrières'!$D:$D,'Vol. Carrières'!$D$169)</f>
        <v>49670</v>
      </c>
      <c r="G72" s="728">
        <f>SUMIFS('Vol. Carrières'!G:G,'Vol. Carrières'!$B:$B,'Vol. Carrières'!$B$161,'Vol. Carrières'!$D:$D,'Vol. Carrières'!$D$169)</f>
        <v>79013</v>
      </c>
      <c r="H72" s="728">
        <f>SUMIFS('Vol. Carrières'!H:H,'Vol. Carrières'!$B:$B,'Vol. Carrières'!$B$161,'Vol. Carrières'!$D:$D,'Vol. Carrières'!$D$169)</f>
        <v>79013</v>
      </c>
      <c r="I72" s="728">
        <f>SUMIFS('Vol. Carrières'!I:I,'Vol. Carrières'!$B:$B,'Vol. Carrières'!$B$161,'Vol. Carrières'!$D:$D,'Vol. Carrières'!$D$169)</f>
        <v>79013</v>
      </c>
      <c r="J72" s="728">
        <f>SUMIFS('Vol. Carrières'!J:J,'Vol. Carrières'!$B:$B,'Vol. Carrières'!$B$161,'Vol. Carrières'!$D:$D,'Vol. Carrières'!$D$169)</f>
        <v>79013</v>
      </c>
      <c r="K72" s="728">
        <f>SUMIFS('Vol. Carrières'!K:K,'Vol. Carrières'!$B:$B,'Vol. Carrières'!$B$161,'Vol. Carrières'!$D:$D,'Vol. Carrières'!$D$169)</f>
        <v>79013</v>
      </c>
      <c r="L72" s="728">
        <f>SUMIFS('Vol. Carrières'!L:L,'Vol. Carrières'!$B:$B,'Vol. Carrières'!$B$161,'Vol. Carrières'!$D:$D,'Vol. Carrières'!$D$169)</f>
        <v>79013</v>
      </c>
      <c r="M72" s="728">
        <f>SUMIFS('Vol. Carrières'!M:M,'Vol. Carrières'!$B:$B,'Vol. Carrières'!$B$161,'Vol. Carrières'!$D:$D,'Vol. Carrières'!$D$169)</f>
        <v>79013</v>
      </c>
      <c r="N72" s="728">
        <f>SUMIFS('Vol. Carrières'!N:N,'Vol. Carrières'!$B:$B,'Vol. Carrières'!$B$161,'Vol. Carrières'!$D:$D,'Vol. Carrières'!$D$169)</f>
        <v>79013</v>
      </c>
      <c r="O72" s="728">
        <f>SUMIFS('Vol. Carrières'!O:O,'Vol. Carrières'!$B:$B,'Vol. Carrières'!$B$161,'Vol. Carrières'!$D:$D,'Vol. Carrières'!$D$169)</f>
        <v>79013</v>
      </c>
      <c r="P72" s="728">
        <f>SUMIFS('Vol. Carrières'!P:P,'Vol. Carrières'!$B:$B,'Vol. Carrières'!$B$161,'Vol. Carrières'!$D:$D,'Vol. Carrières'!$D$169)</f>
        <v>79013</v>
      </c>
      <c r="Q72" s="731"/>
    </row>
    <row r="73" spans="1:17" ht="15.75" thickBot="1">
      <c r="A73" s="714" t="s">
        <v>91</v>
      </c>
      <c r="B73" s="712" t="s">
        <v>1913</v>
      </c>
      <c r="C73" s="1002"/>
      <c r="D73" s="729" t="s">
        <v>2074</v>
      </c>
      <c r="E73" s="730">
        <f>'[5]Vol. Carrières'!E169</f>
        <v>25168</v>
      </c>
      <c r="F73" s="730">
        <f>'[5]Vol. Carrières'!F169</f>
        <v>48653</v>
      </c>
      <c r="G73" s="730">
        <f>'[5]Vol. Carrières'!G169</f>
        <v>59518</v>
      </c>
      <c r="H73" s="730">
        <f>'[5]Vol. Carrières'!H169</f>
        <v>81706</v>
      </c>
      <c r="I73" s="730">
        <f>'[5]Vol. Carrières'!I169</f>
        <v>87427</v>
      </c>
      <c r="J73" s="730">
        <f>'[5]Vol. Carrières'!J169</f>
        <v>105757</v>
      </c>
      <c r="K73" s="730">
        <f>'[5]Vol. Carrières'!K169</f>
        <v>132877</v>
      </c>
      <c r="L73" s="730">
        <f>'[5]Vol. Carrières'!L169</f>
        <v>157860</v>
      </c>
      <c r="M73" s="730">
        <f>'[5]Vol. Carrières'!M169</f>
        <v>183412</v>
      </c>
      <c r="N73" s="730">
        <f>'[5]Vol. Carrières'!N169</f>
        <v>210902</v>
      </c>
      <c r="O73" s="730">
        <f>'[5]Vol. Carrières'!O169</f>
        <v>232329</v>
      </c>
      <c r="P73" s="730">
        <f>'[5]Vol. Carrières'!P169</f>
        <v>264574</v>
      </c>
      <c r="Q73" s="732"/>
    </row>
    <row r="74" spans="1:17" ht="15.75">
      <c r="A74" s="560" t="s">
        <v>91</v>
      </c>
      <c r="B74" s="710" t="s">
        <v>59</v>
      </c>
      <c r="C74" s="685"/>
      <c r="D74" s="685"/>
      <c r="E74" s="687" t="s">
        <v>29</v>
      </c>
      <c r="F74" s="687" t="s">
        <v>30</v>
      </c>
      <c r="G74" s="687" t="s">
        <v>31</v>
      </c>
      <c r="H74" s="687" t="s">
        <v>32</v>
      </c>
      <c r="I74" s="687" t="s">
        <v>33</v>
      </c>
      <c r="J74" s="687" t="s">
        <v>34</v>
      </c>
      <c r="K74" s="687" t="s">
        <v>35</v>
      </c>
      <c r="L74" s="687" t="s">
        <v>65</v>
      </c>
      <c r="M74" s="687" t="s">
        <v>37</v>
      </c>
      <c r="N74" s="687" t="s">
        <v>38</v>
      </c>
      <c r="O74" s="687" t="s">
        <v>39</v>
      </c>
      <c r="P74" s="687" t="s">
        <v>40</v>
      </c>
      <c r="Q74" s="722" t="s">
        <v>3</v>
      </c>
    </row>
    <row r="75" spans="1:17">
      <c r="A75" s="713" t="s">
        <v>91</v>
      </c>
      <c r="B75" s="711" t="s">
        <v>59</v>
      </c>
      <c r="C75" s="1000" t="s">
        <v>2024</v>
      </c>
      <c r="D75" s="723" t="s">
        <v>2018</v>
      </c>
      <c r="E75" s="724">
        <f>SUMIFS('Vol. Carrières'!$E:$E,'Vol. Carrières'!$B:$B,'Vol. Carrières'!$B$173,'Vol. Carrières'!$D:$D,'Vol. Carrières'!$D$8)</f>
        <v>32700</v>
      </c>
      <c r="F75" s="725">
        <f>SUMIFS('Vol. Carrières'!$F:$F,'Vol. Carrières'!$B:$B,'Vol. Carrières'!$B$173,'Vol. Carrières'!$D:$D,'Vol. Carrières'!$D$8)</f>
        <v>28706</v>
      </c>
      <c r="G75" s="725">
        <f>SUMIFS('Vol. Carrières'!$G:$G,'Vol. Carrières'!$B:$B,'Vol. Carrières'!$B$173,'Vol. Carrières'!$D:$D,'Vol. Carrières'!$D$8)</f>
        <v>11384</v>
      </c>
      <c r="H75" s="725">
        <f>SUMIFS('Vol. Carrières'!$H:$H,'Vol. Carrières'!$B:$B,'Vol. Carrières'!$B$173,'Vol. Carrières'!$D:$D,'Vol. Carrières'!$D$8)</f>
        <v>0</v>
      </c>
      <c r="I75" s="725">
        <f>SUMIFS('Vol. Carrières'!$I:$I,'Vol. Carrières'!$B:$B,'Vol. Carrières'!$B$173,'Vol. Carrières'!$D:$D,'Vol. Carrières'!$D$8)</f>
        <v>0</v>
      </c>
      <c r="J75" s="725">
        <f>SUMIFS('Vol. Carrières'!$J:$J,'Vol. Carrières'!$B:$B,'Vol. Carrières'!$B$173,'Vol. Carrières'!$D:$D,'Vol. Carrières'!$D$8)</f>
        <v>0</v>
      </c>
      <c r="K75" s="725">
        <f>SUMIFS('Vol. Carrières'!$K:$K,'Vol. Carrières'!$B:$B,'Vol. Carrières'!$B$173,'Vol. Carrières'!$D:$D,'Vol. Carrières'!$D$8)</f>
        <v>0</v>
      </c>
      <c r="L75" s="725">
        <f>SUMIFS('Vol. Carrières'!$L:$L,'Vol. Carrières'!$B:$B,'Vol. Carrières'!$B$173,'Vol. Carrières'!$D:$D,'Vol. Carrières'!$D$8)</f>
        <v>0</v>
      </c>
      <c r="M75" s="725">
        <f>SUMIFS('Vol. Carrières'!$M:$M,'Vol. Carrières'!$B:$B,'Vol. Carrières'!$B$173,'Vol. Carrières'!$D:$D,'Vol. Carrières'!$D$8)</f>
        <v>0</v>
      </c>
      <c r="N75" s="725">
        <f>SUMIFS('Vol. Carrières'!$N:$N,'Vol. Carrières'!$B:$B,'Vol. Carrières'!$B$173,'Vol. Carrières'!$D:$D,'Vol. Carrières'!$D$8)</f>
        <v>0</v>
      </c>
      <c r="O75" s="725">
        <f>SUMIFS('Vol. Carrières'!$O:$O,'Vol. Carrières'!$B:$B,'Vol. Carrières'!$B$173,'Vol. Carrières'!$D:$D,'Vol. Carrières'!$D$8)</f>
        <v>0</v>
      </c>
      <c r="P75" s="725">
        <f>SUMIFS('Vol. Carrières'!$P:$P,'Vol. Carrières'!$B:$B,'Vol. Carrières'!$B$173,'Vol. Carrières'!$D:$D,'Vol. Carrières'!$D$8)</f>
        <v>0</v>
      </c>
      <c r="Q75" s="733">
        <f>SUM(E75:P75)</f>
        <v>72790</v>
      </c>
    </row>
    <row r="76" spans="1:17">
      <c r="A76" s="713" t="s">
        <v>91</v>
      </c>
      <c r="B76" s="711" t="s">
        <v>59</v>
      </c>
      <c r="C76" s="1000"/>
      <c r="D76" s="723" t="s">
        <v>2038</v>
      </c>
      <c r="E76" s="726">
        <f>'[5]Vol. Carrières'!E176</f>
        <v>6781</v>
      </c>
      <c r="F76" s="726">
        <f>'[5]Vol. Carrières'!F176</f>
        <v>7644</v>
      </c>
      <c r="G76" s="726">
        <f>'[5]Vol. Carrières'!G176</f>
        <v>30941</v>
      </c>
      <c r="H76" s="726">
        <f>'[5]Vol. Carrières'!H176</f>
        <v>9499</v>
      </c>
      <c r="I76" s="726">
        <f>'[5]Vol. Carrières'!I176</f>
        <v>6240</v>
      </c>
      <c r="J76" s="726">
        <f>'[5]Vol. Carrières'!J176</f>
        <v>2699</v>
      </c>
      <c r="K76" s="726">
        <f>'[5]Vol. Carrières'!K176</f>
        <v>11725</v>
      </c>
      <c r="L76" s="726">
        <f>'[5]Vol. Carrières'!L176</f>
        <v>6606</v>
      </c>
      <c r="M76" s="726">
        <f>'[5]Vol. Carrières'!M176</f>
        <v>9920</v>
      </c>
      <c r="N76" s="726">
        <f>'[5]Vol. Carrières'!N176</f>
        <v>3246</v>
      </c>
      <c r="O76" s="726">
        <f>'[5]Vol. Carrières'!O176</f>
        <v>0</v>
      </c>
      <c r="P76" s="726">
        <f>'[5]Vol. Carrières'!P176</f>
        <v>2034</v>
      </c>
      <c r="Q76" s="734">
        <f>SUM(E76:P76)</f>
        <v>97335</v>
      </c>
    </row>
    <row r="77" spans="1:17">
      <c r="A77" s="713" t="s">
        <v>91</v>
      </c>
      <c r="B77" s="711" t="s">
        <v>59</v>
      </c>
      <c r="C77" s="1001" t="s">
        <v>2047</v>
      </c>
      <c r="D77" s="727" t="s">
        <v>2073</v>
      </c>
      <c r="E77" s="728">
        <f>SUMIFS('Vol. Carrières'!$E:$E,'Vol. Carrières'!$B:$B,'Vol. Carrières'!$B$173,'Vol. Carrières'!$D:$D,'Vol. Carrières'!$D$37)</f>
        <v>32700</v>
      </c>
      <c r="F77" s="728">
        <f>SUMIFS('Vol. Carrières'!$F:$F,'Vol. Carrières'!$B:$B,'Vol. Carrières'!$B$173,'Vol. Carrières'!$D:$D,'Vol. Carrières'!$D$37)</f>
        <v>61406</v>
      </c>
      <c r="G77" s="728">
        <f>SUMIFS('Vol. Carrières'!$G:$G,'Vol. Carrières'!$B:$B,'Vol. Carrières'!$B$173,'Vol. Carrières'!$D:$D,'Vol. Carrières'!$D$37)</f>
        <v>72790</v>
      </c>
      <c r="H77" s="728">
        <f>SUMIFS('Vol. Carrières'!$H:$H,'Vol. Carrières'!$B:$B,'Vol. Carrières'!$B$173,'Vol. Carrières'!$D:$D,'Vol. Carrières'!$D$37)</f>
        <v>72790</v>
      </c>
      <c r="I77" s="728">
        <f>SUMIFS('Vol. Carrières'!$I:$I,'Vol. Carrières'!$B:$B,'Vol. Carrières'!$B$173,'Vol. Carrières'!$D:$D,'Vol. Carrières'!$D$37)</f>
        <v>72790</v>
      </c>
      <c r="J77" s="728">
        <f>SUMIFS('Vol. Carrières'!$J:$J,'Vol. Carrières'!$B:$B,'Vol. Carrières'!$B$173,'Vol. Carrières'!$D:$D,'Vol. Carrières'!$D$37)</f>
        <v>72790</v>
      </c>
      <c r="K77" s="728">
        <f>SUMIFS('Vol. Carrières'!$K:$K,'Vol. Carrières'!$B:$B,'Vol. Carrières'!$B$173,'Vol. Carrières'!$D:$D,'Vol. Carrières'!$D$37)</f>
        <v>72790</v>
      </c>
      <c r="L77" s="728">
        <f>SUMIFS('Vol. Carrières'!$L:$L,'Vol. Carrières'!$B:$B,'Vol. Carrières'!$B$173,'Vol. Carrières'!$D:$D,'Vol. Carrières'!$D$37)</f>
        <v>72790</v>
      </c>
      <c r="M77" s="728">
        <f>SUMIFS('Vol. Carrières'!$M:$M,'Vol. Carrières'!$B:$B,'Vol. Carrières'!$B$173,'Vol. Carrières'!$D:$D,'Vol. Carrières'!$D$37)</f>
        <v>72790</v>
      </c>
      <c r="N77" s="728">
        <f>SUMIFS('Vol. Carrières'!$N:$N,'Vol. Carrières'!$B:$B,'Vol. Carrières'!$B$173,'Vol. Carrières'!$D:$D,'Vol. Carrières'!$D$37)</f>
        <v>72790</v>
      </c>
      <c r="O77" s="728">
        <f>SUMIFS('Vol. Carrières'!$O:$O,'Vol. Carrières'!$B:$B,'Vol. Carrières'!$B$173,'Vol. Carrières'!$D:$D,'Vol. Carrières'!$D$37)</f>
        <v>72790</v>
      </c>
      <c r="P77" s="728">
        <f>SUMIFS('Vol. Carrières'!$P:$P,'Vol. Carrières'!$B:$B,'Vol. Carrières'!$B$173,'Vol. Carrières'!$D:$D,'Vol. Carrières'!$D$37)</f>
        <v>72790</v>
      </c>
      <c r="Q77" s="731"/>
    </row>
    <row r="78" spans="1:17" ht="15.75" thickBot="1">
      <c r="A78" s="714" t="s">
        <v>91</v>
      </c>
      <c r="B78" s="712" t="s">
        <v>59</v>
      </c>
      <c r="C78" s="1002"/>
      <c r="D78" s="729" t="s">
        <v>2074</v>
      </c>
      <c r="E78" s="730">
        <f>'[5]Vol. Carrières'!E181</f>
        <v>6781</v>
      </c>
      <c r="F78" s="730">
        <f>'[5]Vol. Carrières'!F181</f>
        <v>14425</v>
      </c>
      <c r="G78" s="730">
        <f>'[5]Vol. Carrières'!G181</f>
        <v>45366</v>
      </c>
      <c r="H78" s="730">
        <f>'[5]Vol. Carrières'!H181</f>
        <v>54865</v>
      </c>
      <c r="I78" s="730">
        <f>'[5]Vol. Carrières'!I181</f>
        <v>61105</v>
      </c>
      <c r="J78" s="730">
        <f>'[5]Vol. Carrières'!J181</f>
        <v>63804</v>
      </c>
      <c r="K78" s="730">
        <f>'[5]Vol. Carrières'!K181</f>
        <v>75529</v>
      </c>
      <c r="L78" s="730">
        <f>'[5]Vol. Carrières'!L181</f>
        <v>82135</v>
      </c>
      <c r="M78" s="730">
        <f>'[5]Vol. Carrières'!M181</f>
        <v>92055</v>
      </c>
      <c r="N78" s="730">
        <f>'[5]Vol. Carrières'!N181</f>
        <v>95301</v>
      </c>
      <c r="O78" s="730">
        <f>'[5]Vol. Carrières'!O181</f>
        <v>95301</v>
      </c>
      <c r="P78" s="730">
        <f>'[5]Vol. Carrières'!P181</f>
        <v>97335</v>
      </c>
      <c r="Q78" s="732"/>
    </row>
    <row r="79" spans="1:17" ht="15.75">
      <c r="A79" s="560" t="s">
        <v>91</v>
      </c>
      <c r="B79" s="710" t="s">
        <v>71</v>
      </c>
      <c r="C79" s="685"/>
      <c r="D79" s="685"/>
      <c r="E79" s="687" t="s">
        <v>29</v>
      </c>
      <c r="F79" s="687" t="s">
        <v>30</v>
      </c>
      <c r="G79" s="687" t="s">
        <v>31</v>
      </c>
      <c r="H79" s="687" t="s">
        <v>32</v>
      </c>
      <c r="I79" s="687" t="s">
        <v>33</v>
      </c>
      <c r="J79" s="687" t="s">
        <v>34</v>
      </c>
      <c r="K79" s="687" t="s">
        <v>35</v>
      </c>
      <c r="L79" s="687" t="s">
        <v>65</v>
      </c>
      <c r="M79" s="687" t="s">
        <v>37</v>
      </c>
      <c r="N79" s="687" t="s">
        <v>38</v>
      </c>
      <c r="O79" s="687" t="s">
        <v>39</v>
      </c>
      <c r="P79" s="687" t="s">
        <v>40</v>
      </c>
      <c r="Q79" s="722" t="s">
        <v>3</v>
      </c>
    </row>
    <row r="80" spans="1:17">
      <c r="A80" s="713" t="s">
        <v>91</v>
      </c>
      <c r="B80" s="711" t="s">
        <v>71</v>
      </c>
      <c r="C80" s="1000" t="s">
        <v>2024</v>
      </c>
      <c r="D80" s="723" t="s">
        <v>2018</v>
      </c>
      <c r="E80" s="724">
        <f>SUMIFS('Vol. Carrières'!$E:$E,'Vol. Carrières'!$B:$B,'Vol. Carrières'!$B$185,'Vol. Carrières'!$D:$D,'Vol. Carrières'!$D$8)</f>
        <v>11642</v>
      </c>
      <c r="F80" s="725">
        <f>SUMIFS('Vol. Carrières'!$F:$F,'Vol. Carrières'!$B:$B,'Vol. Carrières'!$B$185,'Vol. Carrières'!$D:$D,'Vol. Carrières'!$D$8)</f>
        <v>15322</v>
      </c>
      <c r="G80" s="725">
        <f>SUMIFS('Vol. Carrières'!$G:$G,'Vol. Carrières'!$B:$B,'Vol. Carrières'!$B$185,'Vol. Carrières'!$D:$D,'Vol. Carrières'!$D$8)</f>
        <v>10399</v>
      </c>
      <c r="H80" s="725">
        <f>SUMIFS('Vol. Carrières'!$H:$H,'Vol. Carrières'!$B:$B,'Vol. Carrières'!$B$185,'Vol. Carrières'!$D:$D,'Vol. Carrières'!$D$8)</f>
        <v>0</v>
      </c>
      <c r="I80" s="725">
        <f>SUMIFS('Vol. Carrières'!$I:$I,'Vol. Carrières'!$B:$B,'Vol. Carrières'!$B$185,'Vol. Carrières'!$D:$D,'Vol. Carrières'!$D$8)</f>
        <v>0</v>
      </c>
      <c r="J80" s="725">
        <f>SUMIFS('Vol. Carrières'!$J:$J,'Vol. Carrières'!$B:$B,'Vol. Carrières'!$B$185,'Vol. Carrières'!$D:$D,'Vol. Carrières'!$D$8)</f>
        <v>0</v>
      </c>
      <c r="K80" s="725">
        <f>SUMIFS('Vol. Carrières'!$K:$K,'Vol. Carrières'!$B:$B,'Vol. Carrières'!$B$185,'Vol. Carrières'!$D:$D,'Vol. Carrières'!$D$8)</f>
        <v>0</v>
      </c>
      <c r="L80" s="725">
        <f>SUMIFS('Vol. Carrières'!$L:$L,'Vol. Carrières'!$B:$B,'Vol. Carrières'!$B$185,'Vol. Carrières'!$D:$D,'Vol. Carrières'!$D$8)</f>
        <v>0</v>
      </c>
      <c r="M80" s="725">
        <f>SUMIFS('Vol. Carrières'!$M:$M,'Vol. Carrières'!$B:$B,'Vol. Carrières'!$B$185,'Vol. Carrières'!$D:$D,'Vol. Carrières'!$D$8)</f>
        <v>0</v>
      </c>
      <c r="N80" s="725">
        <f>SUMIFS('Vol. Carrières'!$N:$N,'Vol. Carrières'!$B:$B,'Vol. Carrières'!$B$185,'Vol. Carrières'!$D:$D,'Vol. Carrières'!$D$8)</f>
        <v>0</v>
      </c>
      <c r="O80" s="725">
        <f>SUMIFS('Vol. Carrières'!$O:$O,'Vol. Carrières'!$B:$B,'Vol. Carrières'!$B$185,'Vol. Carrières'!$D:$D,'Vol. Carrières'!$D$8)</f>
        <v>0</v>
      </c>
      <c r="P80" s="725">
        <f>SUMIFS('Vol. Carrières'!$P:$P,'Vol. Carrières'!$B:$B,'Vol. Carrières'!$B$185,'Vol. Carrières'!$D:$D,'Vol. Carrières'!$D$8)</f>
        <v>0</v>
      </c>
      <c r="Q80" s="733">
        <f>SUM(E80:P80)</f>
        <v>37363</v>
      </c>
    </row>
    <row r="81" spans="1:17">
      <c r="A81" s="713" t="s">
        <v>91</v>
      </c>
      <c r="B81" s="711" t="s">
        <v>71</v>
      </c>
      <c r="C81" s="1000"/>
      <c r="D81" s="723" t="s">
        <v>2038</v>
      </c>
      <c r="E81" s="726">
        <f>'[5]Vol. Carrières'!E188</f>
        <v>8246</v>
      </c>
      <c r="F81" s="726">
        <f>'[5]Vol. Carrières'!F188</f>
        <v>9105</v>
      </c>
      <c r="G81" s="726">
        <f>'[5]Vol. Carrières'!G188</f>
        <v>11309</v>
      </c>
      <c r="H81" s="726">
        <f>'[5]Vol. Carrières'!H188</f>
        <v>12538</v>
      </c>
      <c r="I81" s="726">
        <f>'[5]Vol. Carrières'!I188</f>
        <v>8391</v>
      </c>
      <c r="J81" s="726">
        <f>'[5]Vol. Carrières'!J188</f>
        <v>17612</v>
      </c>
      <c r="K81" s="726">
        <f>'[5]Vol. Carrières'!K188</f>
        <v>14184</v>
      </c>
      <c r="L81" s="726">
        <f>'[5]Vol. Carrières'!L188</f>
        <v>19566</v>
      </c>
      <c r="M81" s="726">
        <f>'[5]Vol. Carrières'!M188</f>
        <v>23189</v>
      </c>
      <c r="N81" s="726">
        <f>'[5]Vol. Carrières'!N188</f>
        <v>29470</v>
      </c>
      <c r="O81" s="726">
        <f>'[5]Vol. Carrières'!O188</f>
        <v>14862</v>
      </c>
      <c r="P81" s="726">
        <f>'[5]Vol. Carrières'!P188</f>
        <v>4773</v>
      </c>
      <c r="Q81" s="734">
        <f>SUM(E81:P81)</f>
        <v>173245</v>
      </c>
    </row>
    <row r="82" spans="1:17">
      <c r="A82" s="713" t="s">
        <v>91</v>
      </c>
      <c r="B82" s="711" t="s">
        <v>71</v>
      </c>
      <c r="C82" s="1001" t="s">
        <v>2047</v>
      </c>
      <c r="D82" s="727" t="s">
        <v>2073</v>
      </c>
      <c r="E82" s="728">
        <f>SUMIFS('Vol. Carrières'!E:E,'Vol. Carrières'!$B:$B,'Vol. Carrières'!$B$185,'Vol. Carrières'!$D:$D,'Vol. Carrières'!$D$25)</f>
        <v>11642</v>
      </c>
      <c r="F82" s="728">
        <f>SUMIFS('Vol. Carrières'!F:F,'Vol. Carrières'!$B:$B,'Vol. Carrières'!$B$185,'Vol. Carrières'!$D:$D,'Vol. Carrières'!$D$25)</f>
        <v>26964</v>
      </c>
      <c r="G82" s="728">
        <f>SUMIFS('Vol. Carrières'!G:G,'Vol. Carrières'!$B:$B,'Vol. Carrières'!$B$185,'Vol. Carrières'!$D:$D,'Vol. Carrières'!$D$25)</f>
        <v>37363</v>
      </c>
      <c r="H82" s="728">
        <f>SUMIFS('Vol. Carrières'!H:H,'Vol. Carrières'!$B:$B,'Vol. Carrières'!$B$185,'Vol. Carrières'!$D:$D,'Vol. Carrières'!$D$25)</f>
        <v>37363</v>
      </c>
      <c r="I82" s="728">
        <f>SUMIFS('Vol. Carrières'!I:I,'Vol. Carrières'!$B:$B,'Vol. Carrières'!$B$185,'Vol. Carrières'!$D:$D,'Vol. Carrières'!$D$25)</f>
        <v>37363</v>
      </c>
      <c r="J82" s="728">
        <f>SUMIFS('Vol. Carrières'!J:J,'Vol. Carrières'!$B:$B,'Vol. Carrières'!$B$185,'Vol. Carrières'!$D:$D,'Vol. Carrières'!$D$25)</f>
        <v>37363</v>
      </c>
      <c r="K82" s="728">
        <f>SUMIFS('Vol. Carrières'!K:K,'Vol. Carrières'!$B:$B,'Vol. Carrières'!$B$185,'Vol. Carrières'!$D:$D,'Vol. Carrières'!$D$25)</f>
        <v>37363</v>
      </c>
      <c r="L82" s="728">
        <f>SUMIFS('Vol. Carrières'!L:L,'Vol. Carrières'!$B:$B,'Vol. Carrières'!$B$185,'Vol. Carrières'!$D:$D,'Vol. Carrières'!$D$25)</f>
        <v>37363</v>
      </c>
      <c r="M82" s="728">
        <f>SUMIFS('Vol. Carrières'!M:M,'Vol. Carrières'!$B:$B,'Vol. Carrières'!$B$185,'Vol. Carrières'!$D:$D,'Vol. Carrières'!$D$25)</f>
        <v>37363</v>
      </c>
      <c r="N82" s="728">
        <f>SUMIFS('Vol. Carrières'!N:N,'Vol. Carrières'!$B:$B,'Vol. Carrières'!$B$185,'Vol. Carrières'!$D:$D,'Vol. Carrières'!$D$25)</f>
        <v>37363</v>
      </c>
      <c r="O82" s="728">
        <f>SUMIFS('Vol. Carrières'!O:O,'Vol. Carrières'!$B:$B,'Vol. Carrières'!$B$185,'Vol. Carrières'!$D:$D,'Vol. Carrières'!$D$25)</f>
        <v>37363</v>
      </c>
      <c r="P82" s="728">
        <f>SUMIFS('Vol. Carrières'!P:P,'Vol. Carrières'!$B:$B,'Vol. Carrières'!$B$185,'Vol. Carrières'!$D:$D,'Vol. Carrières'!$D$25)</f>
        <v>37363</v>
      </c>
      <c r="Q82" s="731"/>
    </row>
    <row r="83" spans="1:17" ht="15.75" thickBot="1">
      <c r="A83" s="714" t="s">
        <v>91</v>
      </c>
      <c r="B83" s="712" t="s">
        <v>71</v>
      </c>
      <c r="C83" s="1002"/>
      <c r="D83" s="729" t="s">
        <v>2074</v>
      </c>
      <c r="E83" s="730">
        <f>'[5]Vol. Carrières'!E193</f>
        <v>8246</v>
      </c>
      <c r="F83" s="730">
        <f>'[5]Vol. Carrières'!F193</f>
        <v>17351</v>
      </c>
      <c r="G83" s="730">
        <f>'[5]Vol. Carrières'!G193</f>
        <v>28660</v>
      </c>
      <c r="H83" s="730">
        <f>'[5]Vol. Carrières'!H193</f>
        <v>41198</v>
      </c>
      <c r="I83" s="730">
        <f>'[5]Vol. Carrières'!I193</f>
        <v>49589</v>
      </c>
      <c r="J83" s="730">
        <f>'[5]Vol. Carrières'!J193</f>
        <v>67201</v>
      </c>
      <c r="K83" s="730">
        <f>'[5]Vol. Carrières'!K193</f>
        <v>81385</v>
      </c>
      <c r="L83" s="730">
        <f>'[5]Vol. Carrières'!L193</f>
        <v>100951</v>
      </c>
      <c r="M83" s="730">
        <f>'[5]Vol. Carrières'!M193</f>
        <v>124140</v>
      </c>
      <c r="N83" s="730">
        <f>'[5]Vol. Carrières'!N193</f>
        <v>153610</v>
      </c>
      <c r="O83" s="730">
        <f>'[5]Vol. Carrières'!O193</f>
        <v>168472</v>
      </c>
      <c r="P83" s="730">
        <f>'[5]Vol. Carrières'!P193</f>
        <v>173245</v>
      </c>
      <c r="Q83" s="732"/>
    </row>
  </sheetData>
  <mergeCells count="32">
    <mergeCell ref="C32:C33"/>
    <mergeCell ref="C5:C6"/>
    <mergeCell ref="C7:C8"/>
    <mergeCell ref="C10:C11"/>
    <mergeCell ref="C12:C13"/>
    <mergeCell ref="C15:C16"/>
    <mergeCell ref="C17:C18"/>
    <mergeCell ref="C20:C21"/>
    <mergeCell ref="C22:C23"/>
    <mergeCell ref="C25:C26"/>
    <mergeCell ref="C27:C28"/>
    <mergeCell ref="C30:C31"/>
    <mergeCell ref="C62:C63"/>
    <mergeCell ref="C35:C36"/>
    <mergeCell ref="C37:C38"/>
    <mergeCell ref="C40:C41"/>
    <mergeCell ref="C42:C43"/>
    <mergeCell ref="C45:C46"/>
    <mergeCell ref="C47:C48"/>
    <mergeCell ref="C50:C51"/>
    <mergeCell ref="C52:C53"/>
    <mergeCell ref="C55:C56"/>
    <mergeCell ref="C57:C58"/>
    <mergeCell ref="C60:C61"/>
    <mergeCell ref="C80:C81"/>
    <mergeCell ref="C82:C83"/>
    <mergeCell ref="C65:C66"/>
    <mergeCell ref="C67:C68"/>
    <mergeCell ref="C70:C71"/>
    <mergeCell ref="C72:C73"/>
    <mergeCell ref="C75:C76"/>
    <mergeCell ref="C77:C78"/>
  </mergeCells>
  <pageMargins left="0.7" right="0.7" top="0.75" bottom="0.75" header="0.3" footer="0.3"/>
  <pageSetup paperSize="9" orientation="portrait" r:id="rId1"/>
  <ignoredErrors>
    <ignoredError sqref="E51:P5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>
    <tabColor rgb="FFFFFF00"/>
  </sheetPr>
  <dimension ref="A1:O41"/>
  <sheetViews>
    <sheetView workbookViewId="0">
      <selection activeCell="C6" sqref="C6"/>
    </sheetView>
  </sheetViews>
  <sheetFormatPr baseColWidth="10" defaultRowHeight="15"/>
  <cols>
    <col min="1" max="1" width="9" customWidth="1"/>
    <col min="2" max="2" width="22.28515625" customWidth="1"/>
    <col min="3" max="38" width="8.7109375" customWidth="1"/>
  </cols>
  <sheetData>
    <row r="1" spans="1:15">
      <c r="A1" s="994" t="s">
        <v>2076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995"/>
      <c r="N1" s="995"/>
      <c r="O1" s="1006"/>
    </row>
    <row r="2" spans="1:15" ht="24.75" customHeight="1">
      <c r="A2" s="996"/>
      <c r="B2" s="997"/>
      <c r="C2" s="998"/>
      <c r="D2" s="998"/>
      <c r="E2" s="998"/>
      <c r="F2" s="998"/>
      <c r="G2" s="998"/>
      <c r="H2" s="998"/>
      <c r="I2" s="998"/>
      <c r="J2" s="998"/>
      <c r="K2" s="998"/>
      <c r="L2" s="998"/>
      <c r="M2" s="998"/>
      <c r="N2" s="998"/>
      <c r="O2" s="1007"/>
    </row>
    <row r="3" spans="1:15">
      <c r="A3" s="826"/>
      <c r="B3" s="569"/>
      <c r="C3" s="570" t="s">
        <v>29</v>
      </c>
      <c r="D3" s="570" t="s">
        <v>30</v>
      </c>
      <c r="E3" s="570" t="s">
        <v>31</v>
      </c>
      <c r="F3" s="570" t="s">
        <v>32</v>
      </c>
      <c r="G3" s="570" t="s">
        <v>33</v>
      </c>
      <c r="H3" s="570" t="s">
        <v>34</v>
      </c>
      <c r="I3" s="570" t="s">
        <v>35</v>
      </c>
      <c r="J3" s="570" t="s">
        <v>65</v>
      </c>
      <c r="K3" s="570" t="s">
        <v>37</v>
      </c>
      <c r="L3" s="570" t="s">
        <v>38</v>
      </c>
      <c r="M3" s="570" t="s">
        <v>39</v>
      </c>
      <c r="N3" s="571" t="s">
        <v>40</v>
      </c>
      <c r="O3" s="572" t="s">
        <v>55</v>
      </c>
    </row>
    <row r="4" spans="1:15">
      <c r="A4" s="1003" t="s">
        <v>2020</v>
      </c>
      <c r="B4" s="573" t="s">
        <v>2018</v>
      </c>
      <c r="C4" s="843">
        <f>SUMIFS('Variation N-1'!E:E,'Variation N-1'!$D:$D,'Variation N-1'!$D$5)</f>
        <v>178061</v>
      </c>
      <c r="D4" s="843">
        <f>SUMIFS('Variation N-1'!F:F,'Variation N-1'!$D:$D,'Variation N-1'!$D$5)</f>
        <v>226038</v>
      </c>
      <c r="E4" s="843">
        <f>SUMIFS('Variation N-1'!G:G,'Variation N-1'!$D:$D,'Variation N-1'!$D$5)</f>
        <v>166390</v>
      </c>
      <c r="F4" s="843">
        <f>SUMIFS('Variation N-1'!H:H,'Variation N-1'!$D:$D,'Variation N-1'!$D$5)</f>
        <v>0</v>
      </c>
      <c r="G4" s="843">
        <f>SUMIFS('Variation N-1'!I:I,'Variation N-1'!$D:$D,'Variation N-1'!$D$5)</f>
        <v>0</v>
      </c>
      <c r="H4" s="843">
        <f>SUMIFS('Variation N-1'!J:J,'Variation N-1'!$D:$D,'Variation N-1'!$D$5)</f>
        <v>0</v>
      </c>
      <c r="I4" s="843">
        <f>SUMIFS('Variation N-1'!K:K,'Variation N-1'!$D:$D,'Variation N-1'!$D$5)</f>
        <v>0</v>
      </c>
      <c r="J4" s="843">
        <f>SUMIFS('Variation N-1'!L:L,'Variation N-1'!$D:$D,'Variation N-1'!$D$5)</f>
        <v>0</v>
      </c>
      <c r="K4" s="843">
        <f>SUMIFS('Variation N-1'!M:M,'Variation N-1'!$D:$D,'Variation N-1'!$D$5)</f>
        <v>0</v>
      </c>
      <c r="L4" s="843">
        <f>SUMIFS('Variation N-1'!N:N,'Variation N-1'!$D:$D,'Variation N-1'!$D$5)</f>
        <v>0</v>
      </c>
      <c r="M4" s="843">
        <f>SUMIFS('Variation N-1'!O:O,'Variation N-1'!$D:$D,'Variation N-1'!$D$5)</f>
        <v>0</v>
      </c>
      <c r="N4" s="843">
        <f>SUMIFS('Variation N-1'!P:P,'Variation N-1'!$D:$D,'Variation N-1'!$D$5)</f>
        <v>0</v>
      </c>
      <c r="O4" s="574"/>
    </row>
    <row r="5" spans="1:15">
      <c r="A5" s="1004"/>
      <c r="B5" s="575" t="s">
        <v>2038</v>
      </c>
      <c r="C5" s="844">
        <f>SUMIFS('Variation N-1'!E:E,'Variation N-1'!$D:$D,'Variation N-1'!$D$6)</f>
        <v>118110</v>
      </c>
      <c r="D5" s="844">
        <f>SUMIFS('Variation N-1'!F:F,'Variation N-1'!$D:$D,'Variation N-1'!$D$6)</f>
        <v>164280</v>
      </c>
      <c r="E5" s="844">
        <f>SUMIFS('Variation N-1'!G:G,'Variation N-1'!$D:$D,'Variation N-1'!$D$6)</f>
        <v>199066</v>
      </c>
      <c r="F5" s="844">
        <f>SUMIFS('Variation N-1'!H:H,'Variation N-1'!$D:$D,'Variation N-1'!$D$6)</f>
        <v>184707</v>
      </c>
      <c r="G5" s="844">
        <f>SUMIFS('Variation N-1'!I:I,'Variation N-1'!$D:$D,'Variation N-1'!$D$6)</f>
        <v>112977</v>
      </c>
      <c r="H5" s="844">
        <f>SUMIFS('Variation N-1'!J:J,'Variation N-1'!$D:$D,'Variation N-1'!$D$6)</f>
        <v>129828</v>
      </c>
      <c r="I5" s="844">
        <f>SUMIFS('Variation N-1'!K:K,'Variation N-1'!$D:$D,'Variation N-1'!$D$6)</f>
        <v>126504</v>
      </c>
      <c r="J5" s="844">
        <f>SUMIFS('Variation N-1'!L:L,'Variation N-1'!$D:$D,'Variation N-1'!$D$6)</f>
        <v>120357</v>
      </c>
      <c r="K5" s="844">
        <f>SUMIFS('Variation N-1'!M:M,'Variation N-1'!$D:$D,'Variation N-1'!$D$6)</f>
        <v>181348</v>
      </c>
      <c r="L5" s="844">
        <f>SUMIFS('Variation N-1'!N:N,'Variation N-1'!$D:$D,'Variation N-1'!$D$6)</f>
        <v>139349</v>
      </c>
      <c r="M5" s="844">
        <f>SUMIFS('Variation N-1'!O:O,'Variation N-1'!$D:$D,'Variation N-1'!$D$6)</f>
        <v>116345</v>
      </c>
      <c r="N5" s="844">
        <f>SUMIFS('Variation N-1'!P:P,'Variation N-1'!$D:$D,'Variation N-1'!$D$6)</f>
        <v>86135</v>
      </c>
      <c r="O5" s="576"/>
    </row>
    <row r="6" spans="1:15">
      <c r="A6" s="1005"/>
      <c r="B6" s="577" t="s">
        <v>2060</v>
      </c>
      <c r="C6" s="1032">
        <f>IF(C4=0,0,IF(C5=0,0,((C5-C4)/C4)))</f>
        <v>-0.33668798894760782</v>
      </c>
      <c r="D6" s="1032">
        <f t="shared" ref="D6:N6" si="0">IF(D4=0,0,IF(D5=0,0,((D5-D4)/D4)))</f>
        <v>-0.27321954715578795</v>
      </c>
      <c r="E6" s="1032">
        <f t="shared" si="0"/>
        <v>0.19638199411022297</v>
      </c>
      <c r="F6" s="1032">
        <f t="shared" si="0"/>
        <v>0</v>
      </c>
      <c r="G6" s="1032">
        <f t="shared" si="0"/>
        <v>0</v>
      </c>
      <c r="H6" s="1032">
        <f t="shared" si="0"/>
        <v>0</v>
      </c>
      <c r="I6" s="1032">
        <f t="shared" si="0"/>
        <v>0</v>
      </c>
      <c r="J6" s="1032">
        <f t="shared" si="0"/>
        <v>0</v>
      </c>
      <c r="K6" s="1032">
        <f t="shared" si="0"/>
        <v>0</v>
      </c>
      <c r="L6" s="1032">
        <f t="shared" si="0"/>
        <v>0</v>
      </c>
      <c r="M6" s="1032">
        <f t="shared" si="0"/>
        <v>0</v>
      </c>
      <c r="N6" s="1032">
        <f t="shared" si="0"/>
        <v>0</v>
      </c>
      <c r="O6" s="591"/>
    </row>
    <row r="7" spans="1:15">
      <c r="A7" s="1003" t="s">
        <v>2047</v>
      </c>
      <c r="B7" s="584" t="s">
        <v>2075</v>
      </c>
      <c r="C7" s="1033">
        <f>SUMIFS('Variation N-1'!E:E,'Variation N-1'!$D:$D,'Variation N-1'!$D$7)</f>
        <v>178061</v>
      </c>
      <c r="D7" s="1033">
        <f>SUMIFS('Variation N-1'!F:F,'Variation N-1'!$D:$D,'Variation N-1'!$D$7)</f>
        <v>404099</v>
      </c>
      <c r="E7" s="1033">
        <f>SUMIFS('Variation N-1'!G:G,'Variation N-1'!$D:$D,'Variation N-1'!$D$7)</f>
        <v>569923</v>
      </c>
      <c r="F7" s="1033">
        <f>SUMIFS('Variation N-1'!H:H,'Variation N-1'!$D:$D,'Variation N-1'!$D$7)</f>
        <v>569378</v>
      </c>
      <c r="G7" s="1033">
        <f>SUMIFS('Variation N-1'!I:I,'Variation N-1'!$D:$D,'Variation N-1'!$D$7)</f>
        <v>569378</v>
      </c>
      <c r="H7" s="1033">
        <f>SUMIFS('Variation N-1'!J:J,'Variation N-1'!$D:$D,'Variation N-1'!$D$7)</f>
        <v>569378</v>
      </c>
      <c r="I7" s="1033">
        <f>SUMIFS('Variation N-1'!K:K,'Variation N-1'!$D:$D,'Variation N-1'!$D$7)</f>
        <v>569378</v>
      </c>
      <c r="J7" s="1033">
        <f>SUMIFS('Variation N-1'!L:L,'Variation N-1'!$D:$D,'Variation N-1'!$D$7)</f>
        <v>569378</v>
      </c>
      <c r="K7" s="1033">
        <f>SUMIFS('Variation N-1'!M:M,'Variation N-1'!$D:$D,'Variation N-1'!$D$7)</f>
        <v>569378</v>
      </c>
      <c r="L7" s="1033">
        <f>SUMIFS('Variation N-1'!N:N,'Variation N-1'!$D:$D,'Variation N-1'!$D$7)</f>
        <v>569378</v>
      </c>
      <c r="M7" s="1033">
        <f>SUMIFS('Variation N-1'!O:O,'Variation N-1'!$D:$D,'Variation N-1'!$D$7)</f>
        <v>569378</v>
      </c>
      <c r="N7" s="1033">
        <f>SUMIFS('Variation N-1'!P:P,'Variation N-1'!$D:$D,'Variation N-1'!$D$7)</f>
        <v>569378</v>
      </c>
      <c r="O7" s="586"/>
    </row>
    <row r="8" spans="1:15">
      <c r="A8" s="1004"/>
      <c r="B8" s="587" t="s">
        <v>2074</v>
      </c>
      <c r="C8" s="845">
        <f>SUMIFS('Variation N-1'!E:E,'Variation N-1'!$D:$D,'Variation N-1'!$D$13)</f>
        <v>118110</v>
      </c>
      <c r="D8" s="845">
        <f>SUMIFS('Variation N-1'!F:F,'Variation N-1'!$D:$D,'Variation N-1'!$D$13)</f>
        <v>282390</v>
      </c>
      <c r="E8" s="845">
        <f>SUMIFS('Variation N-1'!G:G,'Variation N-1'!$D:$D,'Variation N-1'!$D$13)</f>
        <v>481456</v>
      </c>
      <c r="F8" s="845">
        <f>SUMIFS('Variation N-1'!H:H,'Variation N-1'!$D:$D,'Variation N-1'!$D$13)</f>
        <v>666163</v>
      </c>
      <c r="G8" s="845">
        <f>SUMIFS('Variation N-1'!I:I,'Variation N-1'!$D:$D,'Variation N-1'!$D$13)</f>
        <v>779140</v>
      </c>
      <c r="H8" s="845">
        <f>SUMIFS('Variation N-1'!J:J,'Variation N-1'!$D:$D,'Variation N-1'!$D$13)</f>
        <v>908968</v>
      </c>
      <c r="I8" s="845">
        <f>SUMIFS('Variation N-1'!K:K,'Variation N-1'!$D:$D,'Variation N-1'!$D$13)</f>
        <v>1035472</v>
      </c>
      <c r="J8" s="845">
        <f>SUMIFS('Variation N-1'!L:L,'Variation N-1'!$D:$D,'Variation N-1'!$D$13)</f>
        <v>1155829</v>
      </c>
      <c r="K8" s="845">
        <f>SUMIFS('Variation N-1'!M:M,'Variation N-1'!$D:$D,'Variation N-1'!$D$13)</f>
        <v>1337177</v>
      </c>
      <c r="L8" s="845">
        <f>SUMIFS('Variation N-1'!N:N,'Variation N-1'!$D:$D,'Variation N-1'!$D$13)</f>
        <v>1476526</v>
      </c>
      <c r="M8" s="845">
        <f>SUMIFS('Variation N-1'!O:O,'Variation N-1'!$D:$D,'Variation N-1'!$D$13)</f>
        <v>1592871</v>
      </c>
      <c r="N8" s="845">
        <f>SUMIFS('Variation N-1'!P:P,'Variation N-1'!$D:$D,'Variation N-1'!$D$13)</f>
        <v>1679006</v>
      </c>
      <c r="O8" s="589"/>
    </row>
    <row r="9" spans="1:15">
      <c r="A9" s="1005"/>
      <c r="B9" s="590" t="s">
        <v>2060</v>
      </c>
      <c r="C9" s="846">
        <f>IF(C7=0,0,IF(C8=0,0,((C8-C7)/C7)))</f>
        <v>-0.33668798894760782</v>
      </c>
      <c r="D9" s="846">
        <f t="shared" ref="D9:N9" si="1">IF(D7=0,0,IF(D8=0,0,((D8-D7)/D7)))</f>
        <v>-0.30118609548650205</v>
      </c>
      <c r="E9" s="846">
        <f t="shared" si="1"/>
        <v>-0.15522623231559352</v>
      </c>
      <c r="F9" s="846">
        <f t="shared" si="1"/>
        <v>0.1699837366389288</v>
      </c>
      <c r="G9" s="846">
        <f t="shared" si="1"/>
        <v>0.36840552322007525</v>
      </c>
      <c r="H9" s="846">
        <f t="shared" si="1"/>
        <v>0.59642276308533171</v>
      </c>
      <c r="I9" s="846">
        <f t="shared" si="1"/>
        <v>0.81860205346887305</v>
      </c>
      <c r="J9" s="846">
        <f t="shared" si="1"/>
        <v>1.0299853524372209</v>
      </c>
      <c r="K9" s="846">
        <f t="shared" si="1"/>
        <v>1.3484872966640791</v>
      </c>
      <c r="L9" s="846">
        <f t="shared" si="1"/>
        <v>1.5932262925508187</v>
      </c>
      <c r="M9" s="846">
        <f t="shared" si="1"/>
        <v>1.7975633059233058</v>
      </c>
      <c r="N9" s="846">
        <f t="shared" si="1"/>
        <v>1.9488424210278585</v>
      </c>
      <c r="O9" s="827"/>
    </row>
    <row r="13" spans="1:15">
      <c r="A13" s="994" t="s">
        <v>2032</v>
      </c>
      <c r="B13" s="995"/>
      <c r="C13" s="995"/>
      <c r="D13" s="995"/>
      <c r="E13" s="995"/>
      <c r="F13" s="995"/>
      <c r="G13" s="995"/>
      <c r="H13" s="995"/>
      <c r="I13" s="995"/>
      <c r="J13" s="995"/>
      <c r="K13" s="995"/>
      <c r="L13" s="995"/>
      <c r="M13" s="995"/>
      <c r="N13" s="995"/>
      <c r="O13" s="1006"/>
    </row>
    <row r="14" spans="1:15">
      <c r="A14" s="996"/>
      <c r="B14" s="997"/>
      <c r="C14" s="998"/>
      <c r="D14" s="998"/>
      <c r="E14" s="998"/>
      <c r="F14" s="998"/>
      <c r="G14" s="998"/>
      <c r="H14" s="998"/>
      <c r="I14" s="998"/>
      <c r="J14" s="998"/>
      <c r="K14" s="998"/>
      <c r="L14" s="998"/>
      <c r="M14" s="998"/>
      <c r="N14" s="998"/>
      <c r="O14" s="1007"/>
    </row>
    <row r="15" spans="1:15">
      <c r="A15" s="826"/>
      <c r="B15" s="569"/>
      <c r="C15" s="570" t="s">
        <v>29</v>
      </c>
      <c r="D15" s="570" t="s">
        <v>30</v>
      </c>
      <c r="E15" s="570" t="s">
        <v>31</v>
      </c>
      <c r="F15" s="570" t="s">
        <v>32</v>
      </c>
      <c r="G15" s="570" t="s">
        <v>33</v>
      </c>
      <c r="H15" s="570" t="s">
        <v>34</v>
      </c>
      <c r="I15" s="570" t="s">
        <v>35</v>
      </c>
      <c r="J15" s="570" t="s">
        <v>65</v>
      </c>
      <c r="K15" s="570" t="s">
        <v>37</v>
      </c>
      <c r="L15" s="570" t="s">
        <v>38</v>
      </c>
      <c r="M15" s="570" t="s">
        <v>39</v>
      </c>
      <c r="N15" s="571" t="s">
        <v>40</v>
      </c>
      <c r="O15" s="572" t="s">
        <v>55</v>
      </c>
    </row>
    <row r="16" spans="1:15">
      <c r="A16" s="1003" t="s">
        <v>2020</v>
      </c>
      <c r="B16" s="573" t="s">
        <v>2018</v>
      </c>
      <c r="C16" s="843">
        <f>SUMIFS('Variation N-1'!E:E,'Variation N-1'!$D:$D,'Variation N-1'!$D$5,'Variation N-1'!$A:$A,'Variation N-1'!$A$9)</f>
        <v>64808</v>
      </c>
      <c r="D16" s="843">
        <f>SUMIFS('Variation N-1'!F:F,'Variation N-1'!$D:$D,'Variation N-1'!$D$5,'Variation N-1'!$A:$A,'Variation N-1'!$A$9)</f>
        <v>88205</v>
      </c>
      <c r="E16" s="843">
        <f>SUMIFS('Variation N-1'!G:G,'Variation N-1'!$D:$D,'Variation N-1'!$D$5,'Variation N-1'!$A:$A,'Variation N-1'!$A$9)</f>
        <v>77397</v>
      </c>
      <c r="F16" s="843">
        <f>SUMIFS('Variation N-1'!H:H,'Variation N-1'!$D:$D,'Variation N-1'!$D$5,'Variation N-1'!$A:$A,'Variation N-1'!$A$9)</f>
        <v>0</v>
      </c>
      <c r="G16" s="843">
        <f>SUMIFS('Variation N-1'!I:I,'Variation N-1'!$D:$D,'Variation N-1'!$D$5,'Variation N-1'!$A:$A,'Variation N-1'!$A$9)</f>
        <v>0</v>
      </c>
      <c r="H16" s="843">
        <f>SUMIFS('Variation N-1'!J:J,'Variation N-1'!$D:$D,'Variation N-1'!$D$5,'Variation N-1'!$A:$A,'Variation N-1'!$A$9)</f>
        <v>0</v>
      </c>
      <c r="I16" s="843">
        <f>SUMIFS('Variation N-1'!K:K,'Variation N-1'!$D:$D,'Variation N-1'!$D$5,'Variation N-1'!$A:$A,'Variation N-1'!$A$9)</f>
        <v>0</v>
      </c>
      <c r="J16" s="843">
        <f>SUMIFS('Variation N-1'!L:L,'Variation N-1'!$D:$D,'Variation N-1'!$D$5,'Variation N-1'!$A:$A,'Variation N-1'!$A$9)</f>
        <v>0</v>
      </c>
      <c r="K16" s="843">
        <f>SUMIFS('Variation N-1'!M:M,'Variation N-1'!$D:$D,'Variation N-1'!$D$5,'Variation N-1'!$A:$A,'Variation N-1'!$A$9)</f>
        <v>0</v>
      </c>
      <c r="L16" s="843">
        <f>SUMIFS('Variation N-1'!N:N,'Variation N-1'!$D:$D,'Variation N-1'!$D$5,'Variation N-1'!$A:$A,'Variation N-1'!$A$9)</f>
        <v>0</v>
      </c>
      <c r="M16" s="843">
        <f>SUMIFS('Variation N-1'!O:O,'Variation N-1'!$D:$D,'Variation N-1'!$D$5,'Variation N-1'!$A:$A,'Variation N-1'!$A$9)</f>
        <v>0</v>
      </c>
      <c r="N16" s="843">
        <f>SUMIFS('Variation N-1'!P:P,'Variation N-1'!$D:$D,'Variation N-1'!$D$5,'Variation N-1'!$A:$A,'Variation N-1'!$A$9)</f>
        <v>0</v>
      </c>
      <c r="O16" s="574"/>
    </row>
    <row r="17" spans="1:15">
      <c r="A17" s="1004"/>
      <c r="B17" s="575" t="s">
        <v>2038</v>
      </c>
      <c r="C17" s="844">
        <f>SUMIFS('Variation N-1'!E:E,'Variation N-1'!$D:$D,'Variation N-1'!$D$11,'Variation N-1'!$A:$A,'Variation N-1'!$A$9)</f>
        <v>48898</v>
      </c>
      <c r="D17" s="844">
        <f>SUMIFS('Variation N-1'!F:F,'Variation N-1'!$D:$D,'Variation N-1'!$D$11,'Variation N-1'!$A:$A,'Variation N-1'!$A$9)</f>
        <v>75060</v>
      </c>
      <c r="E17" s="844">
        <f>SUMIFS('Variation N-1'!G:G,'Variation N-1'!$D:$D,'Variation N-1'!$D$11,'Variation N-1'!$A:$A,'Variation N-1'!$A$9)</f>
        <v>62322</v>
      </c>
      <c r="F17" s="844">
        <f>SUMIFS('Variation N-1'!H:H,'Variation N-1'!$D:$D,'Variation N-1'!$D$11,'Variation N-1'!$A:$A,'Variation N-1'!$A$9)</f>
        <v>49212</v>
      </c>
      <c r="G17" s="844">
        <f>SUMIFS('Variation N-1'!I:I,'Variation N-1'!$D:$D,'Variation N-1'!$D$11,'Variation N-1'!$A:$A,'Variation N-1'!$A$9)</f>
        <v>36853</v>
      </c>
      <c r="H17" s="844">
        <f>SUMIFS('Variation N-1'!J:J,'Variation N-1'!$D:$D,'Variation N-1'!$D$11,'Variation N-1'!$A:$A,'Variation N-1'!$A$9)</f>
        <v>59555</v>
      </c>
      <c r="I17" s="844">
        <f>SUMIFS('Variation N-1'!K:K,'Variation N-1'!$D:$D,'Variation N-1'!$D$11,'Variation N-1'!$A:$A,'Variation N-1'!$A$9)</f>
        <v>55886</v>
      </c>
      <c r="J17" s="844">
        <f>SUMIFS('Variation N-1'!L:L,'Variation N-1'!$D:$D,'Variation N-1'!$D$11,'Variation N-1'!$A:$A,'Variation N-1'!$A$9)</f>
        <v>41653</v>
      </c>
      <c r="K17" s="844">
        <f>SUMIFS('Variation N-1'!M:M,'Variation N-1'!$D:$D,'Variation N-1'!$D$11,'Variation N-1'!$A:$A,'Variation N-1'!$A$9)</f>
        <v>74665</v>
      </c>
      <c r="L17" s="844">
        <f>SUMIFS('Variation N-1'!N:N,'Variation N-1'!$D:$D,'Variation N-1'!$D$11,'Variation N-1'!$A:$A,'Variation N-1'!$A$9)</f>
        <v>44440</v>
      </c>
      <c r="M17" s="844">
        <f>SUMIFS('Variation N-1'!O:O,'Variation N-1'!$D:$D,'Variation N-1'!$D$11,'Variation N-1'!$A:$A,'Variation N-1'!$A$9)</f>
        <v>58133</v>
      </c>
      <c r="N17" s="844">
        <f>SUMIFS('Variation N-1'!P:P,'Variation N-1'!$D:$D,'Variation N-1'!$D$11,'Variation N-1'!$A:$A,'Variation N-1'!$A$9)</f>
        <v>40132</v>
      </c>
      <c r="O17" s="576"/>
    </row>
    <row r="18" spans="1:15">
      <c r="A18" s="1005"/>
      <c r="B18" s="577" t="s">
        <v>2060</v>
      </c>
      <c r="C18" s="1032">
        <f>IF(C16=0,0,IF(C17=0,0,((C17-C16)/C16)))</f>
        <v>-0.24549438340945562</v>
      </c>
      <c r="D18" s="1032">
        <f t="shared" ref="D18:N18" si="2">IF(D16=0,0,IF(D17=0,0,((D17-D16)/D16)))</f>
        <v>-0.149027832889292</v>
      </c>
      <c r="E18" s="1032">
        <f t="shared" si="2"/>
        <v>-0.19477499127873174</v>
      </c>
      <c r="F18" s="1032">
        <f t="shared" si="2"/>
        <v>0</v>
      </c>
      <c r="G18" s="1032">
        <f t="shared" si="2"/>
        <v>0</v>
      </c>
      <c r="H18" s="1032">
        <f t="shared" si="2"/>
        <v>0</v>
      </c>
      <c r="I18" s="1032">
        <f t="shared" si="2"/>
        <v>0</v>
      </c>
      <c r="J18" s="1032">
        <f t="shared" si="2"/>
        <v>0</v>
      </c>
      <c r="K18" s="1032">
        <f t="shared" si="2"/>
        <v>0</v>
      </c>
      <c r="L18" s="1032">
        <f t="shared" si="2"/>
        <v>0</v>
      </c>
      <c r="M18" s="1032">
        <f t="shared" si="2"/>
        <v>0</v>
      </c>
      <c r="N18" s="1032">
        <f t="shared" si="2"/>
        <v>0</v>
      </c>
      <c r="O18" s="591"/>
    </row>
    <row r="19" spans="1:15">
      <c r="A19" s="1003" t="s">
        <v>2047</v>
      </c>
      <c r="B19" s="584" t="s">
        <v>2075</v>
      </c>
      <c r="C19" s="1033">
        <f>SUMIFS('Variation N-1'!E:E,'Variation N-1'!$D:$D,'Variation N-1'!$D$17,'Variation N-1'!$A:$A,'Variation N-1'!$A$9)</f>
        <v>64808</v>
      </c>
      <c r="D19" s="1033">
        <f>SUMIFS('Variation N-1'!F:F,'Variation N-1'!$D:$D,'Variation N-1'!$D$17,'Variation N-1'!$A:$A,'Variation N-1'!$A$9)</f>
        <v>153013</v>
      </c>
      <c r="E19" s="1033">
        <f>SUMIFS('Variation N-1'!G:G,'Variation N-1'!$D:$D,'Variation N-1'!$D$17,'Variation N-1'!$A:$A,'Variation N-1'!$A$9)</f>
        <v>230410</v>
      </c>
      <c r="F19" s="1033">
        <f>SUMIFS('Variation N-1'!H:H,'Variation N-1'!$D:$D,'Variation N-1'!$D$17,'Variation N-1'!$A:$A,'Variation N-1'!$A$9)</f>
        <v>230410</v>
      </c>
      <c r="G19" s="1033">
        <f>SUMIFS('Variation N-1'!I:I,'Variation N-1'!$D:$D,'Variation N-1'!$D$17,'Variation N-1'!$A:$A,'Variation N-1'!$A$9)</f>
        <v>230410</v>
      </c>
      <c r="H19" s="1033">
        <f>SUMIFS('Variation N-1'!J:J,'Variation N-1'!$D:$D,'Variation N-1'!$D$17,'Variation N-1'!$A:$A,'Variation N-1'!$A$9)</f>
        <v>230410</v>
      </c>
      <c r="I19" s="1033">
        <f>SUMIFS('Variation N-1'!K:K,'Variation N-1'!$D:$D,'Variation N-1'!$D$17,'Variation N-1'!$A:$A,'Variation N-1'!$A$9)</f>
        <v>230410</v>
      </c>
      <c r="J19" s="1033">
        <f>SUMIFS('Variation N-1'!L:L,'Variation N-1'!$D:$D,'Variation N-1'!$D$17,'Variation N-1'!$A:$A,'Variation N-1'!$A$9)</f>
        <v>230410</v>
      </c>
      <c r="K19" s="1033">
        <f>SUMIFS('Variation N-1'!M:M,'Variation N-1'!$D:$D,'Variation N-1'!$D$17,'Variation N-1'!$A:$A,'Variation N-1'!$A$9)</f>
        <v>230410</v>
      </c>
      <c r="L19" s="1033">
        <f>SUMIFS('Variation N-1'!N:N,'Variation N-1'!$D:$D,'Variation N-1'!$D$17,'Variation N-1'!$A:$A,'Variation N-1'!$A$9)</f>
        <v>230410</v>
      </c>
      <c r="M19" s="1033">
        <f>SUMIFS('Variation N-1'!O:O,'Variation N-1'!$D:$D,'Variation N-1'!$D$17,'Variation N-1'!$A:$A,'Variation N-1'!$A$9)</f>
        <v>230410</v>
      </c>
      <c r="N19" s="1033">
        <f>SUMIFS('Variation N-1'!P:P,'Variation N-1'!$D:$D,'Variation N-1'!$D$17,'Variation N-1'!$A:$A,'Variation N-1'!$A$9)</f>
        <v>230410</v>
      </c>
      <c r="O19" s="586"/>
    </row>
    <row r="20" spans="1:15">
      <c r="A20" s="1004"/>
      <c r="B20" s="587" t="s">
        <v>2074</v>
      </c>
      <c r="C20" s="845">
        <f>SUMIFS('Variation N-1'!E:E,'Variation N-1'!$D:$D,'Variation N-1'!$D$18,'Variation N-1'!$A:$A,'Variation N-1'!$A$9)</f>
        <v>48898</v>
      </c>
      <c r="D20" s="845">
        <f>SUMIFS('Variation N-1'!F:F,'Variation N-1'!$D:$D,'Variation N-1'!$D$18,'Variation N-1'!$A:$A,'Variation N-1'!$A$9)</f>
        <v>123958</v>
      </c>
      <c r="E20" s="845">
        <f>SUMIFS('Variation N-1'!G:G,'Variation N-1'!$D:$D,'Variation N-1'!$D$18,'Variation N-1'!$A:$A,'Variation N-1'!$A$9)</f>
        <v>186280</v>
      </c>
      <c r="F20" s="845">
        <f>SUMIFS('Variation N-1'!H:H,'Variation N-1'!$D:$D,'Variation N-1'!$D$18,'Variation N-1'!$A:$A,'Variation N-1'!$A$9)</f>
        <v>235492</v>
      </c>
      <c r="G20" s="845">
        <f>SUMIFS('Variation N-1'!I:I,'Variation N-1'!$D:$D,'Variation N-1'!$D$18,'Variation N-1'!$A:$A,'Variation N-1'!$A$9)</f>
        <v>272345</v>
      </c>
      <c r="H20" s="845">
        <f>SUMIFS('Variation N-1'!J:J,'Variation N-1'!$D:$D,'Variation N-1'!$D$18,'Variation N-1'!$A:$A,'Variation N-1'!$A$9)</f>
        <v>331900</v>
      </c>
      <c r="I20" s="845">
        <f>SUMIFS('Variation N-1'!K:K,'Variation N-1'!$D:$D,'Variation N-1'!$D$18,'Variation N-1'!$A:$A,'Variation N-1'!$A$9)</f>
        <v>387786</v>
      </c>
      <c r="J20" s="845">
        <f>SUMIFS('Variation N-1'!L:L,'Variation N-1'!$D:$D,'Variation N-1'!$D$18,'Variation N-1'!$A:$A,'Variation N-1'!$A$9)</f>
        <v>429439</v>
      </c>
      <c r="K20" s="845">
        <f>SUMIFS('Variation N-1'!M:M,'Variation N-1'!$D:$D,'Variation N-1'!$D$18,'Variation N-1'!$A:$A,'Variation N-1'!$A$9)</f>
        <v>504104</v>
      </c>
      <c r="L20" s="845">
        <f>SUMIFS('Variation N-1'!N:N,'Variation N-1'!$D:$D,'Variation N-1'!$D$18,'Variation N-1'!$A:$A,'Variation N-1'!$A$9)</f>
        <v>548544</v>
      </c>
      <c r="M20" s="845">
        <f>SUMIFS('Variation N-1'!O:O,'Variation N-1'!$D:$D,'Variation N-1'!$D$18,'Variation N-1'!$A:$A,'Variation N-1'!$A$9)</f>
        <v>606677</v>
      </c>
      <c r="N20" s="845">
        <f>SUMIFS('Variation N-1'!P:P,'Variation N-1'!$D:$D,'Variation N-1'!$D$18,'Variation N-1'!$A:$A,'Variation N-1'!$A$9)</f>
        <v>646809</v>
      </c>
      <c r="O20" s="589"/>
    </row>
    <row r="21" spans="1:15">
      <c r="A21" s="1005"/>
      <c r="B21" s="590" t="s">
        <v>2060</v>
      </c>
      <c r="C21" s="846">
        <f>IF(C19=0,0,IF(C20=0,0,((C20-C19)/C19)))</f>
        <v>-0.24549438340945562</v>
      </c>
      <c r="D21" s="846">
        <f t="shared" ref="D21:N21" si="3">IF(D19=0,0,IF(D20=0,0,((D20-D19)/D19)))</f>
        <v>-0.18988582669446388</v>
      </c>
      <c r="E21" s="846">
        <f t="shared" si="3"/>
        <v>-0.19152814547979688</v>
      </c>
      <c r="F21" s="846">
        <f t="shared" si="3"/>
        <v>2.2056334360487827E-2</v>
      </c>
      <c r="G21" s="846">
        <f t="shared" si="3"/>
        <v>0.18200164923397422</v>
      </c>
      <c r="H21" s="846">
        <f t="shared" si="3"/>
        <v>0.44047567379888025</v>
      </c>
      <c r="I21" s="846">
        <f t="shared" si="3"/>
        <v>0.68302591033375293</v>
      </c>
      <c r="J21" s="846">
        <f t="shared" si="3"/>
        <v>0.86380365435527973</v>
      </c>
      <c r="K21" s="846">
        <f t="shared" si="3"/>
        <v>1.1878564298424548</v>
      </c>
      <c r="L21" s="846">
        <f t="shared" si="3"/>
        <v>1.3807300030380625</v>
      </c>
      <c r="M21" s="846">
        <f t="shared" si="3"/>
        <v>1.6330324204678617</v>
      </c>
      <c r="N21" s="846">
        <f t="shared" si="3"/>
        <v>1.8072088885031032</v>
      </c>
      <c r="O21" s="827"/>
    </row>
    <row r="23" spans="1:15">
      <c r="A23" s="994" t="s">
        <v>2034</v>
      </c>
      <c r="B23" s="995"/>
      <c r="C23" s="995"/>
      <c r="D23" s="995"/>
      <c r="E23" s="995"/>
      <c r="F23" s="995"/>
      <c r="G23" s="995"/>
      <c r="H23" s="995"/>
      <c r="I23" s="995"/>
      <c r="J23" s="995"/>
      <c r="K23" s="995"/>
      <c r="L23" s="995"/>
      <c r="M23" s="995"/>
      <c r="N23" s="995"/>
      <c r="O23" s="1006"/>
    </row>
    <row r="24" spans="1:15">
      <c r="A24" s="996"/>
      <c r="B24" s="997"/>
      <c r="C24" s="998"/>
      <c r="D24" s="998"/>
      <c r="E24" s="998"/>
      <c r="F24" s="998"/>
      <c r="G24" s="998"/>
      <c r="H24" s="998"/>
      <c r="I24" s="998"/>
      <c r="J24" s="998"/>
      <c r="K24" s="998"/>
      <c r="L24" s="998"/>
      <c r="M24" s="998"/>
      <c r="N24" s="998"/>
      <c r="O24" s="1007"/>
    </row>
    <row r="25" spans="1:15">
      <c r="A25" s="826"/>
      <c r="B25" s="569"/>
      <c r="C25" s="570" t="s">
        <v>29</v>
      </c>
      <c r="D25" s="570" t="s">
        <v>30</v>
      </c>
      <c r="E25" s="570" t="s">
        <v>31</v>
      </c>
      <c r="F25" s="570" t="s">
        <v>32</v>
      </c>
      <c r="G25" s="570" t="s">
        <v>33</v>
      </c>
      <c r="H25" s="570" t="s">
        <v>34</v>
      </c>
      <c r="I25" s="570" t="s">
        <v>35</v>
      </c>
      <c r="J25" s="570" t="s">
        <v>65</v>
      </c>
      <c r="K25" s="570" t="s">
        <v>37</v>
      </c>
      <c r="L25" s="570" t="s">
        <v>38</v>
      </c>
      <c r="M25" s="570" t="s">
        <v>39</v>
      </c>
      <c r="N25" s="571" t="s">
        <v>40</v>
      </c>
      <c r="O25" s="572" t="s">
        <v>55</v>
      </c>
    </row>
    <row r="26" spans="1:15">
      <c r="A26" s="1003" t="s">
        <v>2020</v>
      </c>
      <c r="B26" s="573" t="s">
        <v>2018</v>
      </c>
      <c r="C26" s="843">
        <f>SUMIFS('Variation N-1'!E:E,'Variation N-1'!$D:$D,'Variation N-1'!$D$5,'Variation N-1'!$A:$A,'Variation N-1'!$A$44)</f>
        <v>41359</v>
      </c>
      <c r="D26" s="843">
        <f>SUMIFS('Variation N-1'!F:F,'Variation N-1'!$D:$D,'Variation N-1'!$D$5,'Variation N-1'!$A:$A,'Variation N-1'!$A$44)</f>
        <v>71687</v>
      </c>
      <c r="E26" s="843">
        <f>SUMIFS('Variation N-1'!G:G,'Variation N-1'!$D:$D,'Variation N-1'!$D$5,'Variation N-1'!$A:$A,'Variation N-1'!$A$44)</f>
        <v>37867</v>
      </c>
      <c r="F26" s="843">
        <f>SUMIFS('Variation N-1'!H:H,'Variation N-1'!$D:$D,'Variation N-1'!$D$5,'Variation N-1'!$A:$A,'Variation N-1'!$A$44)</f>
        <v>0</v>
      </c>
      <c r="G26" s="843">
        <f>SUMIFS('Variation N-1'!I:I,'Variation N-1'!$D:$D,'Variation N-1'!$D$5,'Variation N-1'!$A:$A,'Variation N-1'!$A$44)</f>
        <v>0</v>
      </c>
      <c r="H26" s="843">
        <f>SUMIFS('Variation N-1'!J:J,'Variation N-1'!$D:$D,'Variation N-1'!$D$5,'Variation N-1'!$A:$A,'Variation N-1'!$A$44)</f>
        <v>0</v>
      </c>
      <c r="I26" s="843">
        <f>SUMIFS('Variation N-1'!K:K,'Variation N-1'!$D:$D,'Variation N-1'!$D$5,'Variation N-1'!$A:$A,'Variation N-1'!$A$44)</f>
        <v>0</v>
      </c>
      <c r="J26" s="843">
        <f>SUMIFS('Variation N-1'!L:L,'Variation N-1'!$D:$D,'Variation N-1'!$D$5,'Variation N-1'!$A:$A,'Variation N-1'!$A$44)</f>
        <v>0</v>
      </c>
      <c r="K26" s="843">
        <f>SUMIFS('Variation N-1'!M:M,'Variation N-1'!$D:$D,'Variation N-1'!$D$5,'Variation N-1'!$A:$A,'Variation N-1'!$A$44)</f>
        <v>0</v>
      </c>
      <c r="L26" s="843">
        <f>SUMIFS('Variation N-1'!N:N,'Variation N-1'!$D:$D,'Variation N-1'!$D$5,'Variation N-1'!$A:$A,'Variation N-1'!$A$44)</f>
        <v>0</v>
      </c>
      <c r="M26" s="843">
        <f>SUMIFS('Variation N-1'!O:O,'Variation N-1'!$D:$D,'Variation N-1'!$D$5,'Variation N-1'!$A:$A,'Variation N-1'!$A$44)</f>
        <v>0</v>
      </c>
      <c r="N26" s="843">
        <f>SUMIFS('Variation N-1'!P:P,'Variation N-1'!$D:$D,'Variation N-1'!$D$5,'Variation N-1'!$A:$A,'Variation N-1'!$A$44)</f>
        <v>0</v>
      </c>
      <c r="O26" s="574"/>
    </row>
    <row r="27" spans="1:15">
      <c r="A27" s="1004"/>
      <c r="B27" s="575" t="s">
        <v>2038</v>
      </c>
      <c r="C27" s="844">
        <f>SUMIFS('Variation N-1'!E:E,'Variation N-1'!$D:$D,'Variation N-1'!$D$11,'Variation N-1'!$A:$A,'Variation N-1'!$A$44)</f>
        <v>29017</v>
      </c>
      <c r="D27" s="844">
        <f>SUMIFS('Variation N-1'!F:F,'Variation N-1'!$D:$D,'Variation N-1'!$D$11,'Variation N-1'!$A:$A,'Variation N-1'!$A$44)</f>
        <v>48986</v>
      </c>
      <c r="E27" s="844">
        <f>SUMIFS('Variation N-1'!G:G,'Variation N-1'!$D:$D,'Variation N-1'!$D$11,'Variation N-1'!$A:$A,'Variation N-1'!$A$44)</f>
        <v>83629</v>
      </c>
      <c r="F27" s="844">
        <f>SUMIFS('Variation N-1'!H:H,'Variation N-1'!$D:$D,'Variation N-1'!$D$11,'Variation N-1'!$A:$A,'Variation N-1'!$A$44)</f>
        <v>91270</v>
      </c>
      <c r="G27" s="844">
        <f>SUMIFS('Variation N-1'!I:I,'Variation N-1'!$D:$D,'Variation N-1'!$D$11,'Variation N-1'!$A:$A,'Variation N-1'!$A$44)</f>
        <v>55772</v>
      </c>
      <c r="H27" s="844">
        <f>SUMIFS('Variation N-1'!J:J,'Variation N-1'!$D:$D,'Variation N-1'!$D$11,'Variation N-1'!$A:$A,'Variation N-1'!$A$44)</f>
        <v>31632</v>
      </c>
      <c r="I27" s="844">
        <f>SUMIFS('Variation N-1'!K:K,'Variation N-1'!$D:$D,'Variation N-1'!$D$11,'Variation N-1'!$A:$A,'Variation N-1'!$A$44)</f>
        <v>17589</v>
      </c>
      <c r="J27" s="844">
        <f>SUMIFS('Variation N-1'!L:L,'Variation N-1'!$D:$D,'Variation N-1'!$D$11,'Variation N-1'!$A:$A,'Variation N-1'!$A$44)</f>
        <v>27549</v>
      </c>
      <c r="K27" s="844">
        <f>SUMIFS('Variation N-1'!M:M,'Variation N-1'!$D:$D,'Variation N-1'!$D$11,'Variation N-1'!$A:$A,'Variation N-1'!$A$44)</f>
        <v>48022</v>
      </c>
      <c r="L27" s="844">
        <f>SUMIFS('Variation N-1'!N:N,'Variation N-1'!$D:$D,'Variation N-1'!$D$11,'Variation N-1'!$A:$A,'Variation N-1'!$A$44)</f>
        <v>34703</v>
      </c>
      <c r="M27" s="844">
        <f>SUMIFS('Variation N-1'!O:O,'Variation N-1'!$D:$D,'Variation N-1'!$D$11,'Variation N-1'!$A:$A,'Variation N-1'!$A$44)</f>
        <v>21923</v>
      </c>
      <c r="N27" s="844">
        <f>SUMIFS('Variation N-1'!P:P,'Variation N-1'!$D:$D,'Variation N-1'!$D$11,'Variation N-1'!$A:$A,'Variation N-1'!$A$44)</f>
        <v>6951</v>
      </c>
      <c r="O27" s="576"/>
    </row>
    <row r="28" spans="1:15">
      <c r="A28" s="1005"/>
      <c r="B28" s="577" t="s">
        <v>2060</v>
      </c>
      <c r="C28" s="1032">
        <f>IF(C26=0,0,IF(C27=0,0,((C27-C26)/C26)))</f>
        <v>-0.29841147029667059</v>
      </c>
      <c r="D28" s="1032">
        <f t="shared" ref="D28:N28" si="4">IF(D26=0,0,IF(D27=0,0,((D27-D26)/D26)))</f>
        <v>-0.31666829411190311</v>
      </c>
      <c r="E28" s="1032">
        <f t="shared" si="4"/>
        <v>1.2084928829851851</v>
      </c>
      <c r="F28" s="1032">
        <f t="shared" si="4"/>
        <v>0</v>
      </c>
      <c r="G28" s="1032">
        <f t="shared" si="4"/>
        <v>0</v>
      </c>
      <c r="H28" s="1032">
        <f t="shared" si="4"/>
        <v>0</v>
      </c>
      <c r="I28" s="1032">
        <f t="shared" si="4"/>
        <v>0</v>
      </c>
      <c r="J28" s="1032">
        <f t="shared" si="4"/>
        <v>0</v>
      </c>
      <c r="K28" s="1032">
        <f t="shared" si="4"/>
        <v>0</v>
      </c>
      <c r="L28" s="1032">
        <f t="shared" si="4"/>
        <v>0</v>
      </c>
      <c r="M28" s="1032">
        <f t="shared" si="4"/>
        <v>0</v>
      </c>
      <c r="N28" s="1032">
        <f t="shared" si="4"/>
        <v>0</v>
      </c>
      <c r="O28" s="591"/>
    </row>
    <row r="29" spans="1:15">
      <c r="A29" s="1003" t="s">
        <v>2047</v>
      </c>
      <c r="B29" s="584" t="s">
        <v>2075</v>
      </c>
      <c r="C29" s="1033">
        <f>SUMIFS('Variation N-1'!E:E,'Variation N-1'!$D:$D,'Variation N-1'!$D$17,'Variation N-1'!$A:$A,'Variation N-1'!$A$44)</f>
        <v>41359</v>
      </c>
      <c r="D29" s="1033">
        <f>SUMIFS('Variation N-1'!F:F,'Variation N-1'!$D:$D,'Variation N-1'!$D$17,'Variation N-1'!$A:$A,'Variation N-1'!$A$44)</f>
        <v>113046</v>
      </c>
      <c r="E29" s="1033">
        <f>SUMIFS('Variation N-1'!G:G,'Variation N-1'!$D:$D,'Variation N-1'!$D$17,'Variation N-1'!$A:$A,'Variation N-1'!$A$44)</f>
        <v>150347</v>
      </c>
      <c r="F29" s="1033">
        <f>SUMIFS('Variation N-1'!H:H,'Variation N-1'!$D:$D,'Variation N-1'!$D$17,'Variation N-1'!$A:$A,'Variation N-1'!$A$44)</f>
        <v>149802</v>
      </c>
      <c r="G29" s="1033">
        <f>SUMIFS('Variation N-1'!I:I,'Variation N-1'!$D:$D,'Variation N-1'!$D$17,'Variation N-1'!$A:$A,'Variation N-1'!$A$44)</f>
        <v>149802</v>
      </c>
      <c r="H29" s="1033">
        <f>SUMIFS('Variation N-1'!J:J,'Variation N-1'!$D:$D,'Variation N-1'!$D$17,'Variation N-1'!$A:$A,'Variation N-1'!$A$44)</f>
        <v>149802</v>
      </c>
      <c r="I29" s="1033">
        <f>SUMIFS('Variation N-1'!K:K,'Variation N-1'!$D:$D,'Variation N-1'!$D$17,'Variation N-1'!$A:$A,'Variation N-1'!$A$44)</f>
        <v>149802</v>
      </c>
      <c r="J29" s="1033">
        <f>SUMIFS('Variation N-1'!L:L,'Variation N-1'!$D:$D,'Variation N-1'!$D$17,'Variation N-1'!$A:$A,'Variation N-1'!$A$44)</f>
        <v>149802</v>
      </c>
      <c r="K29" s="1033">
        <f>SUMIFS('Variation N-1'!M:M,'Variation N-1'!$D:$D,'Variation N-1'!$D$17,'Variation N-1'!$A:$A,'Variation N-1'!$A$44)</f>
        <v>149802</v>
      </c>
      <c r="L29" s="1033">
        <f>SUMIFS('Variation N-1'!N:N,'Variation N-1'!$D:$D,'Variation N-1'!$D$17,'Variation N-1'!$A:$A,'Variation N-1'!$A$44)</f>
        <v>149802</v>
      </c>
      <c r="M29" s="1033">
        <f>SUMIFS('Variation N-1'!O:O,'Variation N-1'!$D:$D,'Variation N-1'!$D$17,'Variation N-1'!$A:$A,'Variation N-1'!$A$44)</f>
        <v>149802</v>
      </c>
      <c r="N29" s="1033">
        <f>SUMIFS('Variation N-1'!P:P,'Variation N-1'!$D:$D,'Variation N-1'!$D$17,'Variation N-1'!$A:$A,'Variation N-1'!$A$44)</f>
        <v>149802</v>
      </c>
      <c r="O29" s="586"/>
    </row>
    <row r="30" spans="1:15">
      <c r="A30" s="1004"/>
      <c r="B30" s="587" t="s">
        <v>2074</v>
      </c>
      <c r="C30" s="845">
        <f>SUMIFS('Variation N-1'!E:E,'Variation N-1'!$D:$D,'Variation N-1'!$D$18,'Variation N-1'!$A:$A,'Variation N-1'!$A$44)</f>
        <v>29017</v>
      </c>
      <c r="D30" s="845">
        <f>SUMIFS('Variation N-1'!F:F,'Variation N-1'!$D:$D,'Variation N-1'!$D$18,'Variation N-1'!$A:$A,'Variation N-1'!$A$44)</f>
        <v>78003</v>
      </c>
      <c r="E30" s="845">
        <f>SUMIFS('Variation N-1'!G:G,'Variation N-1'!$D:$D,'Variation N-1'!$D$18,'Variation N-1'!$A:$A,'Variation N-1'!$A$44)</f>
        <v>161632</v>
      </c>
      <c r="F30" s="845">
        <f>SUMIFS('Variation N-1'!H:H,'Variation N-1'!$D:$D,'Variation N-1'!$D$18,'Variation N-1'!$A:$A,'Variation N-1'!$A$44)</f>
        <v>252902</v>
      </c>
      <c r="G30" s="845">
        <f>SUMIFS('Variation N-1'!I:I,'Variation N-1'!$D:$D,'Variation N-1'!$D$18,'Variation N-1'!$A:$A,'Variation N-1'!$A$44)</f>
        <v>308674</v>
      </c>
      <c r="H30" s="845">
        <f>SUMIFS('Variation N-1'!J:J,'Variation N-1'!$D:$D,'Variation N-1'!$D$18,'Variation N-1'!$A:$A,'Variation N-1'!$A$44)</f>
        <v>340306</v>
      </c>
      <c r="I30" s="845">
        <f>SUMIFS('Variation N-1'!K:K,'Variation N-1'!$D:$D,'Variation N-1'!$D$18,'Variation N-1'!$A:$A,'Variation N-1'!$A$44)</f>
        <v>357895</v>
      </c>
      <c r="J30" s="845">
        <f>SUMIFS('Variation N-1'!L:L,'Variation N-1'!$D:$D,'Variation N-1'!$D$18,'Variation N-1'!$A:$A,'Variation N-1'!$A$44)</f>
        <v>385444</v>
      </c>
      <c r="K30" s="845">
        <f>SUMIFS('Variation N-1'!M:M,'Variation N-1'!$D:$D,'Variation N-1'!$D$18,'Variation N-1'!$A:$A,'Variation N-1'!$A$44)</f>
        <v>433466</v>
      </c>
      <c r="L30" s="845">
        <f>SUMIFS('Variation N-1'!N:N,'Variation N-1'!$D:$D,'Variation N-1'!$D$18,'Variation N-1'!$A:$A,'Variation N-1'!$A$44)</f>
        <v>468169</v>
      </c>
      <c r="M30" s="845">
        <f>SUMIFS('Variation N-1'!O:O,'Variation N-1'!$D:$D,'Variation N-1'!$D$18,'Variation N-1'!$A:$A,'Variation N-1'!$A$44)</f>
        <v>490092</v>
      </c>
      <c r="N30" s="845">
        <f>SUMIFS('Variation N-1'!P:P,'Variation N-1'!$D:$D,'Variation N-1'!$D$18,'Variation N-1'!$A:$A,'Variation N-1'!$A$44)</f>
        <v>497043</v>
      </c>
      <c r="O30" s="589"/>
    </row>
    <row r="31" spans="1:15">
      <c r="A31" s="1005"/>
      <c r="B31" s="590" t="s">
        <v>2060</v>
      </c>
      <c r="C31" s="846">
        <f>IF(C29=0,0,IF(C30=0,0,((C30-C29)/C29)))</f>
        <v>-0.29841147029667059</v>
      </c>
      <c r="D31" s="846">
        <f t="shared" ref="D31:N31" si="5">IF(D29=0,0,IF(D30=0,0,((D30-D29)/D29)))</f>
        <v>-0.30998885409479326</v>
      </c>
      <c r="E31" s="846">
        <f t="shared" si="5"/>
        <v>7.5059695238348614E-2</v>
      </c>
      <c r="F31" s="846">
        <f t="shared" si="5"/>
        <v>0.68824181252586747</v>
      </c>
      <c r="G31" s="846">
        <f t="shared" si="5"/>
        <v>1.0605465881630418</v>
      </c>
      <c r="H31" s="846">
        <f t="shared" si="5"/>
        <v>1.2717053176860122</v>
      </c>
      <c r="I31" s="846">
        <f t="shared" si="5"/>
        <v>1.3891203054698869</v>
      </c>
      <c r="J31" s="846">
        <f t="shared" si="5"/>
        <v>1.5730230571020414</v>
      </c>
      <c r="K31" s="846">
        <f t="shared" si="5"/>
        <v>1.8935928759295604</v>
      </c>
      <c r="L31" s="846">
        <f t="shared" si="5"/>
        <v>2.1252519993057502</v>
      </c>
      <c r="M31" s="846">
        <f t="shared" si="5"/>
        <v>2.2715985100332441</v>
      </c>
      <c r="N31" s="846">
        <f t="shared" si="5"/>
        <v>2.3179997596827815</v>
      </c>
      <c r="O31" s="827"/>
    </row>
    <row r="33" spans="1:15">
      <c r="A33" s="994" t="s">
        <v>2033</v>
      </c>
      <c r="B33" s="995"/>
      <c r="C33" s="995"/>
      <c r="D33" s="995"/>
      <c r="E33" s="995"/>
      <c r="F33" s="995"/>
      <c r="G33" s="995"/>
      <c r="H33" s="995"/>
      <c r="I33" s="995"/>
      <c r="J33" s="995"/>
      <c r="K33" s="995"/>
      <c r="L33" s="995"/>
      <c r="M33" s="995"/>
      <c r="N33" s="995"/>
      <c r="O33" s="1006"/>
    </row>
    <row r="34" spans="1:15">
      <c r="A34" s="996"/>
      <c r="B34" s="997"/>
      <c r="C34" s="998"/>
      <c r="D34" s="998"/>
      <c r="E34" s="998"/>
      <c r="F34" s="998"/>
      <c r="G34" s="998"/>
      <c r="H34" s="998"/>
      <c r="I34" s="998"/>
      <c r="J34" s="998"/>
      <c r="K34" s="998"/>
      <c r="L34" s="998"/>
      <c r="M34" s="998"/>
      <c r="N34" s="998"/>
      <c r="O34" s="1007"/>
    </row>
    <row r="35" spans="1:15">
      <c r="A35" s="826"/>
      <c r="B35" s="569"/>
      <c r="C35" s="570" t="s">
        <v>29</v>
      </c>
      <c r="D35" s="570" t="s">
        <v>30</v>
      </c>
      <c r="E35" s="570" t="s">
        <v>31</v>
      </c>
      <c r="F35" s="570" t="s">
        <v>32</v>
      </c>
      <c r="G35" s="570" t="s">
        <v>33</v>
      </c>
      <c r="H35" s="570" t="s">
        <v>34</v>
      </c>
      <c r="I35" s="570" t="s">
        <v>35</v>
      </c>
      <c r="J35" s="570" t="s">
        <v>65</v>
      </c>
      <c r="K35" s="570" t="s">
        <v>37</v>
      </c>
      <c r="L35" s="570" t="s">
        <v>38</v>
      </c>
      <c r="M35" s="570" t="s">
        <v>39</v>
      </c>
      <c r="N35" s="571" t="s">
        <v>40</v>
      </c>
      <c r="O35" s="572" t="s">
        <v>55</v>
      </c>
    </row>
    <row r="36" spans="1:15">
      <c r="A36" s="1003" t="s">
        <v>2020</v>
      </c>
      <c r="B36" s="573" t="s">
        <v>2018</v>
      </c>
      <c r="C36" s="843">
        <f>SUMIFS('Variation N-1'!E:E,'Variation N-1'!$D:$D,'Variation N-1'!$D$5,'Variation N-1'!$A:$A,'Variation N-1'!$A$69)</f>
        <v>71894</v>
      </c>
      <c r="D36" s="843">
        <f>SUMIFS('Variation N-1'!F:F,'Variation N-1'!$D:$D,'Variation N-1'!$D$5,'Variation N-1'!$A:$A,'Variation N-1'!$A$69)</f>
        <v>66146</v>
      </c>
      <c r="E36" s="843">
        <f>SUMIFS('Variation N-1'!G:G,'Variation N-1'!$D:$D,'Variation N-1'!$D$5,'Variation N-1'!$A:$A,'Variation N-1'!$A$69)</f>
        <v>51126</v>
      </c>
      <c r="F36" s="843">
        <f>SUMIFS('Variation N-1'!H:H,'Variation N-1'!$D:$D,'Variation N-1'!$D$5,'Variation N-1'!$A:$A,'Variation N-1'!$A$69)</f>
        <v>0</v>
      </c>
      <c r="G36" s="843">
        <f>SUMIFS('Variation N-1'!I:I,'Variation N-1'!$D:$D,'Variation N-1'!$D$5,'Variation N-1'!$A:$A,'Variation N-1'!$A$69)</f>
        <v>0</v>
      </c>
      <c r="H36" s="843">
        <f>SUMIFS('Variation N-1'!J:J,'Variation N-1'!$D:$D,'Variation N-1'!$D$5,'Variation N-1'!$A:$A,'Variation N-1'!$A$69)</f>
        <v>0</v>
      </c>
      <c r="I36" s="843">
        <f>SUMIFS('Variation N-1'!K:K,'Variation N-1'!$D:$D,'Variation N-1'!$D$5,'Variation N-1'!$A:$A,'Variation N-1'!$A$69)</f>
        <v>0</v>
      </c>
      <c r="J36" s="843">
        <f>SUMIFS('Variation N-1'!L:L,'Variation N-1'!$D:$D,'Variation N-1'!$D$5,'Variation N-1'!$A:$A,'Variation N-1'!$A$69)</f>
        <v>0</v>
      </c>
      <c r="K36" s="843">
        <f>SUMIFS('Variation N-1'!M:M,'Variation N-1'!$D:$D,'Variation N-1'!$D$5,'Variation N-1'!$A:$A,'Variation N-1'!$A$69)</f>
        <v>0</v>
      </c>
      <c r="L36" s="843">
        <f>SUMIFS('Variation N-1'!N:N,'Variation N-1'!$D:$D,'Variation N-1'!$D$5,'Variation N-1'!$A:$A,'Variation N-1'!$A$69)</f>
        <v>0</v>
      </c>
      <c r="M36" s="843">
        <f>SUMIFS('Variation N-1'!O:O,'Variation N-1'!$D:$D,'Variation N-1'!$D$5,'Variation N-1'!$A:$A,'Variation N-1'!$A$69)</f>
        <v>0</v>
      </c>
      <c r="N36" s="843">
        <f>SUMIFS('Variation N-1'!P:P,'Variation N-1'!$D:$D,'Variation N-1'!$D$5,'Variation N-1'!$A:$A,'Variation N-1'!$A$69)</f>
        <v>0</v>
      </c>
      <c r="O36" s="574"/>
    </row>
    <row r="37" spans="1:15">
      <c r="A37" s="1004"/>
      <c r="B37" s="575" t="s">
        <v>2038</v>
      </c>
      <c r="C37" s="844">
        <f>SUMIFS('Variation N-1'!E:E,'Variation N-1'!$D:$D,'Variation N-1'!$D$26,'Variation N-1'!$A:$A,'Variation N-1'!$A$69)</f>
        <v>40195</v>
      </c>
      <c r="D37" s="844">
        <f>SUMIFS('Variation N-1'!F:F,'Variation N-1'!$D:$D,'Variation N-1'!$D$26,'Variation N-1'!$A:$A,'Variation N-1'!$A$69)</f>
        <v>40234</v>
      </c>
      <c r="E37" s="844">
        <f>SUMIFS('Variation N-1'!G:G,'Variation N-1'!$D:$D,'Variation N-1'!$D$26,'Variation N-1'!$A:$A,'Variation N-1'!$A$69)</f>
        <v>53115</v>
      </c>
      <c r="F37" s="844">
        <f>SUMIFS('Variation N-1'!H:H,'Variation N-1'!$D:$D,'Variation N-1'!$D$26,'Variation N-1'!$A:$A,'Variation N-1'!$A$69)</f>
        <v>44225</v>
      </c>
      <c r="G37" s="844">
        <f>SUMIFS('Variation N-1'!I:I,'Variation N-1'!$D:$D,'Variation N-1'!$D$26,'Variation N-1'!$A:$A,'Variation N-1'!$A$69)</f>
        <v>20352</v>
      </c>
      <c r="H37" s="844">
        <f>SUMIFS('Variation N-1'!J:J,'Variation N-1'!$D:$D,'Variation N-1'!$D$26,'Variation N-1'!$A:$A,'Variation N-1'!$A$69)</f>
        <v>38641</v>
      </c>
      <c r="I37" s="844">
        <f>SUMIFS('Variation N-1'!K:K,'Variation N-1'!$D:$D,'Variation N-1'!$D$26,'Variation N-1'!$A:$A,'Variation N-1'!$A$69)</f>
        <v>53029</v>
      </c>
      <c r="J37" s="844">
        <f>SUMIFS('Variation N-1'!L:L,'Variation N-1'!$D:$D,'Variation N-1'!$D$26,'Variation N-1'!$A:$A,'Variation N-1'!$A$69)</f>
        <v>51155</v>
      </c>
      <c r="K37" s="844">
        <f>SUMIFS('Variation N-1'!M:M,'Variation N-1'!$D:$D,'Variation N-1'!$D$26,'Variation N-1'!$A:$A,'Variation N-1'!$A$69)</f>
        <v>58661</v>
      </c>
      <c r="L37" s="844">
        <f>SUMIFS('Variation N-1'!N:N,'Variation N-1'!$D:$D,'Variation N-1'!$D$26,'Variation N-1'!$A:$A,'Variation N-1'!$A$69)</f>
        <v>60206</v>
      </c>
      <c r="M37" s="844">
        <f>SUMIFS('Variation N-1'!O:O,'Variation N-1'!$D:$D,'Variation N-1'!$D$26,'Variation N-1'!$A:$A,'Variation N-1'!$A$69)</f>
        <v>36289</v>
      </c>
      <c r="N37" s="844">
        <f>SUMIFS('Variation N-1'!P:P,'Variation N-1'!$D:$D,'Variation N-1'!$D$26,'Variation N-1'!$A:$A,'Variation N-1'!$A$69)</f>
        <v>39052</v>
      </c>
      <c r="O37" s="576"/>
    </row>
    <row r="38" spans="1:15">
      <c r="A38" s="1005"/>
      <c r="B38" s="577" t="s">
        <v>2060</v>
      </c>
      <c r="C38" s="1032">
        <f>IF(C36=0,0,IF(C37=0,0,((C37-C36)/C36)))</f>
        <v>-0.44091301082148721</v>
      </c>
      <c r="D38" s="1032">
        <f t="shared" ref="D38:N38" si="6">IF(D36=0,0,IF(D37=0,0,((D37-D36)/D36)))</f>
        <v>-0.39173948538082426</v>
      </c>
      <c r="E38" s="1032">
        <f t="shared" si="6"/>
        <v>3.8903884520596177E-2</v>
      </c>
      <c r="F38" s="1032">
        <f t="shared" si="6"/>
        <v>0</v>
      </c>
      <c r="G38" s="1032">
        <f t="shared" si="6"/>
        <v>0</v>
      </c>
      <c r="H38" s="1032">
        <f t="shared" si="6"/>
        <v>0</v>
      </c>
      <c r="I38" s="1032">
        <f t="shared" si="6"/>
        <v>0</v>
      </c>
      <c r="J38" s="1032">
        <f t="shared" si="6"/>
        <v>0</v>
      </c>
      <c r="K38" s="1032">
        <f t="shared" si="6"/>
        <v>0</v>
      </c>
      <c r="L38" s="1032">
        <f t="shared" si="6"/>
        <v>0</v>
      </c>
      <c r="M38" s="1032">
        <f t="shared" si="6"/>
        <v>0</v>
      </c>
      <c r="N38" s="1032">
        <f t="shared" si="6"/>
        <v>0</v>
      </c>
      <c r="O38" s="591"/>
    </row>
    <row r="39" spans="1:15">
      <c r="A39" s="1003" t="s">
        <v>2047</v>
      </c>
      <c r="B39" s="584" t="s">
        <v>2075</v>
      </c>
      <c r="C39" s="1033">
        <f>SUMIFS('Variation N-1'!E:E,'Variation N-1'!$D:$D,'Variation N-1'!$D$17,'Variation N-1'!$A:$A,'Variation N-1'!$A$69)</f>
        <v>71894</v>
      </c>
      <c r="D39" s="1033">
        <f>SUMIFS('Variation N-1'!F:F,'Variation N-1'!$D:$D,'Variation N-1'!$D$17,'Variation N-1'!$A:$A,'Variation N-1'!$A$69)</f>
        <v>138040</v>
      </c>
      <c r="E39" s="1033">
        <f>SUMIFS('Variation N-1'!G:G,'Variation N-1'!$D:$D,'Variation N-1'!$D$17,'Variation N-1'!$A:$A,'Variation N-1'!$A$69)</f>
        <v>189166</v>
      </c>
      <c r="F39" s="1033">
        <f>SUMIFS('Variation N-1'!H:H,'Variation N-1'!$D:$D,'Variation N-1'!$D$17,'Variation N-1'!$A:$A,'Variation N-1'!$A$69)</f>
        <v>189166</v>
      </c>
      <c r="G39" s="1033">
        <f>SUMIFS('Variation N-1'!I:I,'Variation N-1'!$D:$D,'Variation N-1'!$D$17,'Variation N-1'!$A:$A,'Variation N-1'!$A$69)</f>
        <v>189166</v>
      </c>
      <c r="H39" s="1033">
        <f>SUMIFS('Variation N-1'!J:J,'Variation N-1'!$D:$D,'Variation N-1'!$D$17,'Variation N-1'!$A:$A,'Variation N-1'!$A$69)</f>
        <v>189166</v>
      </c>
      <c r="I39" s="1033">
        <f>SUMIFS('Variation N-1'!K:K,'Variation N-1'!$D:$D,'Variation N-1'!$D$17,'Variation N-1'!$A:$A,'Variation N-1'!$A$69)</f>
        <v>189166</v>
      </c>
      <c r="J39" s="1033">
        <f>SUMIFS('Variation N-1'!L:L,'Variation N-1'!$D:$D,'Variation N-1'!$D$17,'Variation N-1'!$A:$A,'Variation N-1'!$A$69)</f>
        <v>189166</v>
      </c>
      <c r="K39" s="1033">
        <f>SUMIFS('Variation N-1'!M:M,'Variation N-1'!$D:$D,'Variation N-1'!$D$17,'Variation N-1'!$A:$A,'Variation N-1'!$A$69)</f>
        <v>189166</v>
      </c>
      <c r="L39" s="1033">
        <f>SUMIFS('Variation N-1'!N:N,'Variation N-1'!$D:$D,'Variation N-1'!$D$17,'Variation N-1'!$A:$A,'Variation N-1'!$A$69)</f>
        <v>189166</v>
      </c>
      <c r="M39" s="1033">
        <f>SUMIFS('Variation N-1'!O:O,'Variation N-1'!$D:$D,'Variation N-1'!$D$17,'Variation N-1'!$A:$A,'Variation N-1'!$A$69)</f>
        <v>189166</v>
      </c>
      <c r="N39" s="1033">
        <f>SUMIFS('Variation N-1'!P:P,'Variation N-1'!$D:$D,'Variation N-1'!$D$17,'Variation N-1'!$A:$A,'Variation N-1'!$A$69)</f>
        <v>189166</v>
      </c>
      <c r="O39" s="586"/>
    </row>
    <row r="40" spans="1:15">
      <c r="A40" s="1004"/>
      <c r="B40" s="587" t="s">
        <v>2074</v>
      </c>
      <c r="C40" s="845">
        <f>SUMIFS('Variation N-1'!E:E,'Variation N-1'!$D:$D,'Variation N-1'!$D$18,'Variation N-1'!$A:$A,'Variation N-1'!$A$69)</f>
        <v>40195</v>
      </c>
      <c r="D40" s="845">
        <f>SUMIFS('Variation N-1'!F:F,'Variation N-1'!$D:$D,'Variation N-1'!$D$18,'Variation N-1'!$A:$A,'Variation N-1'!$A$69)</f>
        <v>80429</v>
      </c>
      <c r="E40" s="845">
        <f>SUMIFS('Variation N-1'!G:G,'Variation N-1'!$D:$D,'Variation N-1'!$D$18,'Variation N-1'!$A:$A,'Variation N-1'!$A$69)</f>
        <v>133544</v>
      </c>
      <c r="F40" s="845">
        <f>SUMIFS('Variation N-1'!H:H,'Variation N-1'!$D:$D,'Variation N-1'!$D$18,'Variation N-1'!$A:$A,'Variation N-1'!$A$69)</f>
        <v>177769</v>
      </c>
      <c r="G40" s="845">
        <f>SUMIFS('Variation N-1'!I:I,'Variation N-1'!$D:$D,'Variation N-1'!$D$18,'Variation N-1'!$A:$A,'Variation N-1'!$A$69)</f>
        <v>198121</v>
      </c>
      <c r="H40" s="845">
        <f>SUMIFS('Variation N-1'!J:J,'Variation N-1'!$D:$D,'Variation N-1'!$D$18,'Variation N-1'!$A:$A,'Variation N-1'!$A$69)</f>
        <v>236762</v>
      </c>
      <c r="I40" s="845">
        <f>SUMIFS('Variation N-1'!K:K,'Variation N-1'!$D:$D,'Variation N-1'!$D$18,'Variation N-1'!$A:$A,'Variation N-1'!$A$69)</f>
        <v>289791</v>
      </c>
      <c r="J40" s="845">
        <f>SUMIFS('Variation N-1'!L:L,'Variation N-1'!$D:$D,'Variation N-1'!$D$18,'Variation N-1'!$A:$A,'Variation N-1'!$A$69)</f>
        <v>340946</v>
      </c>
      <c r="K40" s="845">
        <f>SUMIFS('Variation N-1'!M:M,'Variation N-1'!$D:$D,'Variation N-1'!$D$18,'Variation N-1'!$A:$A,'Variation N-1'!$A$69)</f>
        <v>399607</v>
      </c>
      <c r="L40" s="845">
        <f>SUMIFS('Variation N-1'!N:N,'Variation N-1'!$D:$D,'Variation N-1'!$D$18,'Variation N-1'!$A:$A,'Variation N-1'!$A$69)</f>
        <v>459813</v>
      </c>
      <c r="M40" s="845">
        <f>SUMIFS('Variation N-1'!O:O,'Variation N-1'!$D:$D,'Variation N-1'!$D$18,'Variation N-1'!$A:$A,'Variation N-1'!$A$69)</f>
        <v>496102</v>
      </c>
      <c r="N40" s="845">
        <f>SUMIFS('Variation N-1'!P:P,'Variation N-1'!$D:$D,'Variation N-1'!$D$18,'Variation N-1'!$A:$A,'Variation N-1'!$A$69)</f>
        <v>535154</v>
      </c>
      <c r="O40" s="589"/>
    </row>
    <row r="41" spans="1:15">
      <c r="A41" s="1005"/>
      <c r="B41" s="590" t="s">
        <v>2060</v>
      </c>
      <c r="C41" s="846">
        <f>IF(C39=0,0,IF(C40=0,0,((C40-C39)/C39)))</f>
        <v>-0.44091301082148721</v>
      </c>
      <c r="D41" s="846">
        <f t="shared" ref="D41:N41" si="7">IF(D39=0,0,IF(D40=0,0,((D40-D39)/D39)))</f>
        <v>-0.41735004346566212</v>
      </c>
      <c r="E41" s="846">
        <f t="shared" si="7"/>
        <v>-0.2940380406626984</v>
      </c>
      <c r="F41" s="846">
        <f t="shared" si="7"/>
        <v>-6.0248670479895967E-2</v>
      </c>
      <c r="G41" s="846">
        <f t="shared" si="7"/>
        <v>4.7339373883255979E-2</v>
      </c>
      <c r="H41" s="846">
        <f t="shared" si="7"/>
        <v>0.25160969730289801</v>
      </c>
      <c r="I41" s="846">
        <f t="shared" si="7"/>
        <v>0.53194020067031078</v>
      </c>
      <c r="J41" s="846">
        <f t="shared" si="7"/>
        <v>0.80236406119492931</v>
      </c>
      <c r="K41" s="846">
        <f t="shared" si="7"/>
        <v>1.1124673567131513</v>
      </c>
      <c r="L41" s="846">
        <f t="shared" si="7"/>
        <v>1.4307380818963238</v>
      </c>
      <c r="M41" s="846">
        <f t="shared" si="7"/>
        <v>1.6225748813211676</v>
      </c>
      <c r="N41" s="846">
        <f t="shared" si="7"/>
        <v>1.8290178996225537</v>
      </c>
      <c r="O41" s="827"/>
    </row>
  </sheetData>
  <mergeCells count="12">
    <mergeCell ref="A39:A41"/>
    <mergeCell ref="A23:O24"/>
    <mergeCell ref="A26:A28"/>
    <mergeCell ref="A29:A31"/>
    <mergeCell ref="A33:O34"/>
    <mergeCell ref="A36:A38"/>
    <mergeCell ref="A13:O14"/>
    <mergeCell ref="A16:A18"/>
    <mergeCell ref="A19:A21"/>
    <mergeCell ref="A7:A9"/>
    <mergeCell ref="A4:A6"/>
    <mergeCell ref="A1:O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rgb="FFFFFF00"/>
  </sheetPr>
  <dimension ref="A1:Q29"/>
  <sheetViews>
    <sheetView workbookViewId="0">
      <selection activeCell="P31" sqref="P31"/>
    </sheetView>
  </sheetViews>
  <sheetFormatPr baseColWidth="10" defaultRowHeight="15"/>
  <sheetData>
    <row r="1" spans="1:17" ht="18" customHeight="1">
      <c r="A1" s="1034" t="s">
        <v>2070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1035"/>
    </row>
    <row r="2" spans="1:17" ht="24.75" customHeight="1" thickBot="1">
      <c r="A2" s="1036"/>
      <c r="B2" s="875"/>
      <c r="C2" s="875"/>
      <c r="D2" s="875"/>
      <c r="E2" s="875"/>
      <c r="F2" s="875"/>
      <c r="G2" s="875"/>
      <c r="H2" s="875"/>
      <c r="I2" s="875"/>
      <c r="J2" s="875"/>
      <c r="K2" s="875"/>
      <c r="L2" s="875"/>
      <c r="M2" s="875"/>
      <c r="N2" s="875"/>
      <c r="O2" s="875"/>
      <c r="P2" s="875"/>
      <c r="Q2" s="1037"/>
    </row>
    <row r="29" spans="17:17">
      <c r="Q29" t="s">
        <v>2079</v>
      </c>
    </row>
  </sheetData>
  <mergeCells count="1">
    <mergeCell ref="A1:Q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rgb="FFCCFF99"/>
  </sheetPr>
  <dimension ref="A2:AQ31"/>
  <sheetViews>
    <sheetView zoomScale="85" zoomScaleNormal="85" workbookViewId="0">
      <selection activeCell="V30" sqref="V30"/>
    </sheetView>
  </sheetViews>
  <sheetFormatPr baseColWidth="10" defaultRowHeight="15"/>
  <cols>
    <col min="1" max="1" width="3.7109375" customWidth="1"/>
    <col min="2" max="2" width="21.85546875" customWidth="1"/>
    <col min="3" max="3" width="7.5703125" customWidth="1"/>
    <col min="4" max="38" width="7.7109375" customWidth="1"/>
    <col min="39" max="39" width="7.7109375" style="7" customWidth="1"/>
  </cols>
  <sheetData>
    <row r="2" spans="1:43" ht="15" customHeight="1">
      <c r="A2" s="994" t="s">
        <v>87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W2" s="995"/>
      <c r="X2" s="995"/>
      <c r="Y2" s="995"/>
      <c r="Z2" s="995"/>
      <c r="AA2" s="995"/>
      <c r="AB2" s="995"/>
      <c r="AC2" s="995"/>
      <c r="AD2" s="995"/>
      <c r="AE2" s="995"/>
      <c r="AF2" s="995"/>
      <c r="AG2" s="995"/>
      <c r="AH2" s="995"/>
      <c r="AI2" s="995"/>
      <c r="AJ2" s="995"/>
      <c r="AK2" s="995"/>
      <c r="AL2" s="1006"/>
      <c r="AM2" s="796"/>
    </row>
    <row r="3" spans="1:43" ht="20.25" customHeight="1">
      <c r="A3" s="996"/>
      <c r="B3" s="997"/>
      <c r="C3" s="998"/>
      <c r="D3" s="998"/>
      <c r="E3" s="998"/>
      <c r="F3" s="998"/>
      <c r="G3" s="998"/>
      <c r="H3" s="998"/>
      <c r="I3" s="998"/>
      <c r="J3" s="998"/>
      <c r="K3" s="998"/>
      <c r="L3" s="998"/>
      <c r="M3" s="998"/>
      <c r="N3" s="998"/>
      <c r="O3" s="998"/>
      <c r="P3" s="998"/>
      <c r="Q3" s="998"/>
      <c r="R3" s="998"/>
      <c r="S3" s="998"/>
      <c r="T3" s="998"/>
      <c r="U3" s="998"/>
      <c r="V3" s="998"/>
      <c r="W3" s="998"/>
      <c r="X3" s="998"/>
      <c r="Y3" s="998"/>
      <c r="Z3" s="998"/>
      <c r="AA3" s="998"/>
      <c r="AB3" s="998"/>
      <c r="AC3" s="998"/>
      <c r="AD3" s="998"/>
      <c r="AE3" s="998"/>
      <c r="AF3" s="998"/>
      <c r="AG3" s="998"/>
      <c r="AH3" s="998"/>
      <c r="AI3" s="998"/>
      <c r="AJ3" s="998"/>
      <c r="AK3" s="998"/>
      <c r="AL3" s="1007"/>
      <c r="AM3" s="796"/>
    </row>
    <row r="4" spans="1:43" ht="22.5" customHeight="1">
      <c r="A4" s="1008"/>
      <c r="B4" s="640"/>
      <c r="C4" s="655" t="s">
        <v>29</v>
      </c>
      <c r="D4" s="654" t="s">
        <v>29</v>
      </c>
      <c r="E4" s="656" t="s">
        <v>29</v>
      </c>
      <c r="F4" s="655" t="s">
        <v>30</v>
      </c>
      <c r="G4" s="654" t="s">
        <v>30</v>
      </c>
      <c r="H4" s="656" t="s">
        <v>30</v>
      </c>
      <c r="I4" s="655" t="s">
        <v>31</v>
      </c>
      <c r="J4" s="654" t="s">
        <v>31</v>
      </c>
      <c r="K4" s="656" t="s">
        <v>31</v>
      </c>
      <c r="L4" s="655" t="s">
        <v>32</v>
      </c>
      <c r="M4" s="654" t="s">
        <v>32</v>
      </c>
      <c r="N4" s="656" t="s">
        <v>32</v>
      </c>
      <c r="O4" s="655" t="s">
        <v>33</v>
      </c>
      <c r="P4" s="654" t="s">
        <v>33</v>
      </c>
      <c r="Q4" s="656" t="s">
        <v>33</v>
      </c>
      <c r="R4" s="655" t="s">
        <v>34</v>
      </c>
      <c r="S4" s="654" t="s">
        <v>34</v>
      </c>
      <c r="T4" s="656" t="s">
        <v>34</v>
      </c>
      <c r="U4" s="655" t="s">
        <v>35</v>
      </c>
      <c r="V4" s="654" t="s">
        <v>35</v>
      </c>
      <c r="W4" s="656" t="s">
        <v>35</v>
      </c>
      <c r="X4" s="655" t="s">
        <v>65</v>
      </c>
      <c r="Y4" s="654" t="s">
        <v>65</v>
      </c>
      <c r="Z4" s="656" t="s">
        <v>65</v>
      </c>
      <c r="AA4" s="655" t="s">
        <v>37</v>
      </c>
      <c r="AB4" s="654" t="s">
        <v>37</v>
      </c>
      <c r="AC4" s="656" t="s">
        <v>37</v>
      </c>
      <c r="AD4" s="655" t="s">
        <v>38</v>
      </c>
      <c r="AE4" s="654" t="s">
        <v>38</v>
      </c>
      <c r="AF4" s="656" t="s">
        <v>38</v>
      </c>
      <c r="AG4" s="655" t="s">
        <v>39</v>
      </c>
      <c r="AH4" s="654" t="s">
        <v>39</v>
      </c>
      <c r="AI4" s="656" t="s">
        <v>39</v>
      </c>
      <c r="AJ4" s="655" t="s">
        <v>40</v>
      </c>
      <c r="AK4" s="654" t="s">
        <v>40</v>
      </c>
      <c r="AL4" s="657" t="s">
        <v>40</v>
      </c>
      <c r="AM4" s="797"/>
      <c r="AO4" s="1015" t="s">
        <v>2068</v>
      </c>
      <c r="AP4" s="1015"/>
      <c r="AQ4" s="1015"/>
    </row>
    <row r="5" spans="1:43" ht="18" customHeight="1">
      <c r="A5" s="1022"/>
      <c r="B5" s="641"/>
      <c r="C5" s="597" t="s">
        <v>43</v>
      </c>
      <c r="D5" s="598" t="s">
        <v>44</v>
      </c>
      <c r="E5" s="599" t="s">
        <v>45</v>
      </c>
      <c r="F5" s="597" t="s">
        <v>43</v>
      </c>
      <c r="G5" s="598" t="s">
        <v>44</v>
      </c>
      <c r="H5" s="599" t="s">
        <v>45</v>
      </c>
      <c r="I5" s="597" t="s">
        <v>43</v>
      </c>
      <c r="J5" s="598" t="s">
        <v>44</v>
      </c>
      <c r="K5" s="599" t="s">
        <v>45</v>
      </c>
      <c r="L5" s="597" t="s">
        <v>43</v>
      </c>
      <c r="M5" s="598" t="s">
        <v>44</v>
      </c>
      <c r="N5" s="599" t="s">
        <v>45</v>
      </c>
      <c r="O5" s="597" t="s">
        <v>43</v>
      </c>
      <c r="P5" s="598" t="s">
        <v>44</v>
      </c>
      <c r="Q5" s="599" t="s">
        <v>45</v>
      </c>
      <c r="R5" s="597" t="s">
        <v>43</v>
      </c>
      <c r="S5" s="598" t="s">
        <v>44</v>
      </c>
      <c r="T5" s="599" t="s">
        <v>45</v>
      </c>
      <c r="U5" s="597" t="s">
        <v>43</v>
      </c>
      <c r="V5" s="598" t="s">
        <v>44</v>
      </c>
      <c r="W5" s="599" t="s">
        <v>45</v>
      </c>
      <c r="X5" s="597" t="s">
        <v>43</v>
      </c>
      <c r="Y5" s="598" t="s">
        <v>44</v>
      </c>
      <c r="Z5" s="599" t="s">
        <v>45</v>
      </c>
      <c r="AA5" s="597" t="s">
        <v>43</v>
      </c>
      <c r="AB5" s="598" t="s">
        <v>44</v>
      </c>
      <c r="AC5" s="599" t="s">
        <v>45</v>
      </c>
      <c r="AD5" s="597" t="s">
        <v>43</v>
      </c>
      <c r="AE5" s="598" t="s">
        <v>44</v>
      </c>
      <c r="AF5" s="599" t="s">
        <v>45</v>
      </c>
      <c r="AG5" s="597" t="s">
        <v>43</v>
      </c>
      <c r="AH5" s="598" t="s">
        <v>44</v>
      </c>
      <c r="AI5" s="599" t="s">
        <v>45</v>
      </c>
      <c r="AJ5" s="597" t="s">
        <v>43</v>
      </c>
      <c r="AK5" s="598" t="s">
        <v>44</v>
      </c>
      <c r="AL5" s="599" t="s">
        <v>45</v>
      </c>
      <c r="AM5" s="798"/>
      <c r="AO5" s="810" t="s">
        <v>43</v>
      </c>
      <c r="AP5" s="811" t="s">
        <v>44</v>
      </c>
      <c r="AQ5" s="812" t="s">
        <v>45</v>
      </c>
    </row>
    <row r="6" spans="1:43" ht="20.100000000000001" customHeight="1">
      <c r="A6" s="1019" t="s">
        <v>2024</v>
      </c>
      <c r="B6" s="600" t="s">
        <v>98</v>
      </c>
      <c r="C6" s="619">
        <f>SUMIFS('Vol. Carrières'!$E:$E,'Vol. Carrières'!$A:$A,'Vol. Carrières'!$A$5,'Vol. Carrières'!$D:$D,'Vol. Carrières'!$D:$D)</f>
        <v>48638</v>
      </c>
      <c r="D6" s="620">
        <f>SUMIFS('Vol. Carrières'!E:E,'Vol. Carrières'!$A:$A,'Vol. Carrières'!A101,'Vol. Carrières'!$D:$D,"Fer")</f>
        <v>40637</v>
      </c>
      <c r="E6" s="621">
        <f>SUMIFS('Vol. Carrières'!E:E,'Vol. Carrières'!$A:$A,'Vol. Carrières'!$A$161,'Vol. Carrières'!$D:$D,"Fer")</f>
        <v>60506</v>
      </c>
      <c r="F6" s="619">
        <f>SUMIFS('Vol. Carrières'!$F:$F,'Vol. Carrières'!$A:$A,'Vol. Carrières'!$A$5,'Vol. Carrières'!$D:$D,'Vol. Carrières'!$D:$D)</f>
        <v>67090</v>
      </c>
      <c r="G6" s="620">
        <f>SUMIFS('Vol. Carrières'!$F:$F,'Vol. Carrières'!$A:$A,'Vol. Carrières'!A101,'Vol. Carrières'!$D:$D,'Vol. Carrières'!$D:$D)</f>
        <v>55088</v>
      </c>
      <c r="H6" s="621">
        <f>SUMIFS('Vol. Carrières'!F:F,'Vol. Carrières'!$A:$A,'Vol. Carrières'!$A$161,'Vol. Carrières'!$D:$D,"Fer")</f>
        <v>57161</v>
      </c>
      <c r="I6" s="619">
        <f>SUMIFS('Vol. Carrières'!$G:$G,'Vol. Carrières'!$A:$A,'Vol. Carrières'!$A$5,'Vol. Carrières'!$D:$D,'Vol. Carrières'!$D:$D)</f>
        <v>70606</v>
      </c>
      <c r="J6" s="620">
        <f>SUMIFS('Vol. Carrières'!$G:$G,'Vol. Carrières'!$A:$A,'Vol. Carrières'!A101,'Vol. Carrières'!$D:$D,'Vol. Carrières'!$D:$D)</f>
        <v>32391</v>
      </c>
      <c r="K6" s="621">
        <f>SUMIFS('Vol. Carrières'!G:G,'Vol. Carrières'!$A:$A,'Vol. Carrières'!$A$161,'Vol. Carrières'!$D:$D,"Fer")</f>
        <v>47791</v>
      </c>
      <c r="L6" s="619">
        <f>SUMIFS('Vol. Carrières'!$H:$H,'Vol. Carrières'!$A:$A,'Vol. Carrières'!$A$5,'Vol. Carrières'!$D:$D,'Vol. Carrières'!$D:$D)</f>
        <v>0</v>
      </c>
      <c r="M6" s="620">
        <f>SUMIFS('Vol. Carrières'!$H:$H,'Vol. Carrières'!$A:$A,'Vol. Carrières'!A101,'Vol. Carrières'!$D:$D,'Vol. Carrières'!$D:$D)</f>
        <v>0</v>
      </c>
      <c r="N6" s="621">
        <f>SUMIFS('Vol. Carrières'!H:H,'Vol. Carrières'!$A:$A,'Vol. Carrières'!$A$161,'Vol. Carrières'!$D:$D,"Fer")</f>
        <v>0</v>
      </c>
      <c r="O6" s="619">
        <f>SUMIFS('Vol. Carrières'!$I:$I,'Vol. Carrières'!$A:$A,'Vol. Carrières'!$A$5,'Vol. Carrières'!$D:$D,'Vol. Carrières'!$D:$D)</f>
        <v>0</v>
      </c>
      <c r="P6" s="620">
        <f>SUMIFS('Vol. Carrières'!$I:$I,'Vol. Carrières'!$A:$A,'Vol. Carrières'!A101,'Vol. Carrières'!$D:$D,'Vol. Carrières'!$D:$D)</f>
        <v>0</v>
      </c>
      <c r="Q6" s="621">
        <f>SUMIFS('Vol. Carrières'!$I:$I,'Vol. Carrières'!$A:$A,'Vol. Carrières'!$A$161,'Vol. Carrières'!$D:$D,"Fer")</f>
        <v>0</v>
      </c>
      <c r="R6" s="619">
        <f>SUMIFS('Vol. Carrières'!$J:$J,'Vol. Carrières'!$A:$A,'Vol. Carrières'!$A$5,'Vol. Carrières'!$D:$D,'Vol. Carrières'!$D:$D)</f>
        <v>0</v>
      </c>
      <c r="S6" s="620">
        <f>SUMIFS('Vol. Carrières'!$J:$J,'Vol. Carrières'!$A:$A,'Vol. Carrières'!A101,'Vol. Carrières'!$D:$D,'Vol. Carrières'!$D:$D)</f>
        <v>0</v>
      </c>
      <c r="T6" s="621">
        <f>SUMIFS('Vol. Carrières'!J:J,'Vol. Carrières'!$A:$A,'Vol. Carrières'!$A$161,'Vol. Carrières'!$D:$D,"Fer")</f>
        <v>0</v>
      </c>
      <c r="U6" s="619">
        <f>SUMIFS('Vol. Carrières'!$K:$K,'Vol. Carrières'!$A:$A,'Vol. Carrières'!$A$5,'Vol. Carrières'!$D:$D,'Vol. Carrières'!$D:$D)</f>
        <v>0</v>
      </c>
      <c r="V6" s="620">
        <f>SUMIFS('Vol. Carrières'!$K:$K,'Vol. Carrières'!$A:$A,'Vol. Carrières'!A101,'Vol. Carrières'!$D:$D,'Vol. Carrières'!$D:$D)</f>
        <v>0</v>
      </c>
      <c r="W6" s="621">
        <f>SUMIFS('Vol. Carrières'!K:K,'Vol. Carrières'!$A:$A,'Vol. Carrières'!$A$161,'Vol. Carrières'!$D:$D,"Fer")</f>
        <v>0</v>
      </c>
      <c r="X6" s="619">
        <f>SUMIFS('Vol. Carrières'!L:L,'Vol. Carrières'!$A:$A,'Vol. Carrières'!$A$5,'Vol. Carrières'!$D:$D,'Vol. Carrières'!$D:$D)</f>
        <v>0</v>
      </c>
      <c r="Y6" s="620">
        <f>SUMIFS('Vol. Carrières'!L:L,'Vol. Carrières'!$A:$A,'Vol. Carrières'!A101,'Vol. Carrières'!$D:$D,'Vol. Carrières'!$D:$D)</f>
        <v>0</v>
      </c>
      <c r="Z6" s="621">
        <f>SUMIFS('Vol. Carrières'!L:L,'Vol. Carrières'!$A:$A,'Vol. Carrières'!$A$161,'Vol. Carrières'!$D:$D,"Fer")</f>
        <v>0</v>
      </c>
      <c r="AA6" s="619">
        <f>SUMIFS('Vol. Carrières'!$M:$M,'Vol. Carrières'!$A:$A,'Vol. Carrières'!$A$5,'Vol. Carrières'!$D:$D,'Vol. Carrières'!$D:$D)</f>
        <v>0</v>
      </c>
      <c r="AB6" s="620">
        <f>SUMIFS('Vol. Carrières'!$M:$M,'Vol. Carrières'!$A:$A,'Vol. Carrières'!A101,'Vol. Carrières'!$D:$D,'Vol. Carrières'!$D:$D)</f>
        <v>0</v>
      </c>
      <c r="AC6" s="621">
        <f>SUMIFS('Vol. Carrières'!M:M,'Vol. Carrières'!$A:$A,'Vol. Carrières'!$A$161,'Vol. Carrières'!$D:$D,"Fer")</f>
        <v>0</v>
      </c>
      <c r="AD6" s="619">
        <f>SUMIFS('Vol. Carrières'!$N:$N,'Vol. Carrières'!$A:$A,'Vol. Carrières'!$A$5,'Vol. Carrières'!$D:$D,'Vol. Carrières'!$D:$D)</f>
        <v>0</v>
      </c>
      <c r="AE6" s="620">
        <f>SUMIFS('Vol. Carrières'!N:N,'Vol. Carrières'!$A:$A,'Vol. Carrières'!A101,'Vol. Carrières'!$D:$D,'Vol. Carrières'!$D:$D)</f>
        <v>0</v>
      </c>
      <c r="AF6" s="621">
        <f>SUMIFS('Vol. Carrières'!N:N,'Vol. Carrières'!$A:$A,'Vol. Carrières'!$A$161,'Vol. Carrières'!$D:$D,"Fer")</f>
        <v>0</v>
      </c>
      <c r="AG6" s="619">
        <f>SUMIFS('Vol. Carrières'!$O:$O,'Vol. Carrières'!$A:$A,'Vol. Carrières'!$A$5,'Vol. Carrières'!$D:$D,'Vol. Carrières'!$D:$D)</f>
        <v>0</v>
      </c>
      <c r="AH6" s="620">
        <f>SUMIFS('Vol. Carrières'!$O:$O,'Vol. Carrières'!$A:$A,'Vol. Carrières'!A101,'Vol. Carrières'!$D:$D,'Vol. Carrières'!$D:$D)</f>
        <v>0</v>
      </c>
      <c r="AI6" s="621">
        <f>SUMIFS('Vol. Carrières'!O:O,'Vol. Carrières'!$A:$A,'Vol. Carrières'!$A$161,'Vol. Carrières'!$D:$D,"Fer")</f>
        <v>0</v>
      </c>
      <c r="AJ6" s="619">
        <f>SUMIFS('Vol. Carrières'!$P:$P,'Vol. Carrières'!$A:$A,'Vol. Carrières'!$A$5,'Vol. Carrières'!$D:$D,'Vol. Carrières'!$D:$D)</f>
        <v>0</v>
      </c>
      <c r="AK6" s="620">
        <f>SUMIFS('Vol. Carrières'!$P:$P,'Vol. Carrières'!$A:$A,'Vol. Carrières'!A101,'Vol. Carrières'!$D:$D,'Vol. Carrières'!$D:$D)</f>
        <v>0</v>
      </c>
      <c r="AL6" s="621">
        <f>SUMIFS('Vol. Carrières'!P:P,'Vol. Carrières'!$A:$A,'Vol. Carrières'!$A$161,'Vol. Carrières'!$D:$D,"Fer")</f>
        <v>0</v>
      </c>
      <c r="AM6" s="799"/>
      <c r="AO6" s="1"/>
      <c r="AP6" s="1"/>
      <c r="AQ6" s="1"/>
    </row>
    <row r="7" spans="1:43" ht="20.100000000000001" customHeight="1">
      <c r="A7" s="1020"/>
      <c r="B7" s="601" t="s">
        <v>96</v>
      </c>
      <c r="C7" s="610">
        <f>SUMIFS('Vol. Carrières'!E:E,'Vol. Carrières'!$A:$A,'Vol. Carrières'!$A$5,'Vol. Carrières'!$D:$D,'Vol. Carrières'!$D:$D)</f>
        <v>16170</v>
      </c>
      <c r="D7" s="611">
        <f>SUMIFS('Vol. Carrières'!$E:$E,'Vol. Carrières'!$A:$A,'Vol. Carrières'!$A$101,'Vol. Carrières'!$D:$D,'Vol. Carrières'!$D:$D)</f>
        <v>722</v>
      </c>
      <c r="E7" s="612">
        <f>SUMIFS('Vol. Carrières'!$E:$E,'Vol. Carrières'!$A:$A,'Vol. Carrières'!$A$161,'Vol. Carrières'!$D:$D,'Vol. Carrières'!$D:$D)</f>
        <v>11388</v>
      </c>
      <c r="F7" s="610">
        <f>SUMIFS('Vol. Carrières'!$F:$F,'Vol. Carrières'!$A:$A,'Vol. Carrières'!$A$5,'Vol. Carrières'!$D:$D,'Vol. Carrières'!$D:$D)</f>
        <v>21115</v>
      </c>
      <c r="G7" s="611">
        <f>SUMIFS('Vol. Carrières'!$F:$F,'Vol. Carrières'!$A:$A,'Vol. Carrières'!A102,'Vol. Carrières'!$D:$D,'Vol. Carrières'!$D:$D)</f>
        <v>16599</v>
      </c>
      <c r="H7" s="612">
        <f>SUMIFS('Vol. Carrières'!$F:$F,'Vol. Carrières'!$A:$A,'Vol. Carrières'!$A$161,'Vol. Carrières'!$D:$D,'Vol. Carrières'!$D:$D)</f>
        <v>8985</v>
      </c>
      <c r="I7" s="610">
        <f>SUMIFS('Vol. Carrières'!$G:$G,'Vol. Carrières'!$A:$A,'Vol. Carrières'!$A$5,'Vol. Carrières'!$D:$D,'Vol. Carrières'!$D:$D)</f>
        <v>6791</v>
      </c>
      <c r="J7" s="611">
        <f>SUMIFS('Vol. Carrières'!$G:$G,'Vol. Carrières'!$A:$A,'Vol. Carrières'!A102,'Vol. Carrières'!$D:$D,'Vol. Carrières'!$D:$D)</f>
        <v>5476</v>
      </c>
      <c r="K7" s="612">
        <f>SUMIFS('Vol. Carrières'!$G:$G,'Vol. Carrières'!$A:$A,'Vol. Carrières'!$A$161,'Vol. Carrières'!$D:$D,'Vol. Carrières'!$D:$D)</f>
        <v>3335</v>
      </c>
      <c r="L7" s="610">
        <f>SUMIFS('Vol. Carrières'!$H:$H,'Vol. Carrières'!$A:$A,'Vol. Carrières'!$A$5,'Vol. Carrières'!$D:$D,'Vol. Carrières'!$D:$D)</f>
        <v>0</v>
      </c>
      <c r="M7" s="611">
        <f>SUMIFS('Vol. Carrières'!$H:$H,'Vol. Carrières'!$A:$A,'Vol. Carrières'!A102,'Vol. Carrières'!$D:$D,'Vol. Carrières'!$D:$D)</f>
        <v>0</v>
      </c>
      <c r="N7" s="612">
        <f>SUMIFS('Vol. Carrières'!$H:$H,'Vol. Carrières'!$A:$A,'Vol. Carrières'!$A$161,'Vol. Carrières'!$D:$D,'Vol. Carrières'!$D:$D)</f>
        <v>0</v>
      </c>
      <c r="O7" s="610">
        <f>SUMIFS('Vol. Carrières'!$I:$I,'Vol. Carrières'!$A:$A,'Vol. Carrières'!$A$5,'Vol. Carrières'!$D:$D,'Vol. Carrières'!$D:$D)</f>
        <v>0</v>
      </c>
      <c r="P7" s="611">
        <f>SUMIFS('Vol. Carrières'!$I:$I,'Vol. Carrières'!$A:$A,'Vol. Carrières'!A102,'Vol. Carrières'!$D:$D,'Vol. Carrières'!$D:$D)</f>
        <v>0</v>
      </c>
      <c r="Q7" s="612">
        <f>SUMIFS('Vol. Carrières'!$I:$I,'Vol. Carrières'!$A:$A,'Vol. Carrières'!$A$161,'Vol. Carrières'!$D:$D,'Vol. Carrières'!$D:$D)</f>
        <v>0</v>
      </c>
      <c r="R7" s="610">
        <f>SUMIFS('Vol. Carrières'!$J:$J,'Vol. Carrières'!$A:$A,'Vol. Carrières'!$A$5,'Vol. Carrières'!$D:$D,'Vol. Carrières'!$D:$D)</f>
        <v>0</v>
      </c>
      <c r="S7" s="611">
        <f>SUMIFS('Vol. Carrières'!$J:$J,'Vol. Carrières'!$A:$A,'Vol. Carrières'!A102,'Vol. Carrières'!$D:$D,'Vol. Carrières'!$D:$D)</f>
        <v>0</v>
      </c>
      <c r="T7" s="612">
        <f>SUMIFS('Vol. Carrières'!J:J,'Vol. Carrières'!$A:$A,'Vol. Carrières'!$A$161,'Vol. Carrières'!$D:$D,'Vol. Carrières'!$D:$D)</f>
        <v>0</v>
      </c>
      <c r="U7" s="610">
        <f>SUMIFS('Vol. Carrières'!$K:$K,'Vol. Carrières'!$A:$A,'Vol. Carrières'!$A$5,'Vol. Carrières'!$D:$D,'Vol. Carrières'!$D:$D)</f>
        <v>0</v>
      </c>
      <c r="V7" s="611">
        <f>SUMIFS('Vol. Carrières'!$K:$K,'Vol. Carrières'!$A:$A,'Vol. Carrières'!A102,'Vol. Carrières'!$D:$D,'Vol. Carrières'!$D:$D)</f>
        <v>0</v>
      </c>
      <c r="W7" s="612">
        <f>SUMIFS('Vol. Carrières'!$K:$K,'Vol. Carrières'!$A:$A,'Vol. Carrières'!$A$161,'Vol. Carrières'!$D:$D,'Vol. Carrières'!$D:$D)</f>
        <v>0</v>
      </c>
      <c r="X7" s="610">
        <f>SUMIFS('Vol. Carrières'!L:L,'Vol. Carrières'!$A:$A,'Vol. Carrières'!$A$5,'Vol. Carrières'!$D:$D,'Vol. Carrières'!$D:$D)</f>
        <v>0</v>
      </c>
      <c r="Y7" s="611">
        <f>SUMIFS('Vol. Carrières'!L:L,'Vol. Carrières'!$A:$A,'Vol. Carrières'!A102,'Vol. Carrières'!$D:$D,'Vol. Carrières'!$D:$D)</f>
        <v>0</v>
      </c>
      <c r="Z7" s="612">
        <f>SUMIFS('Vol. Carrières'!$L:$L,'Vol. Carrières'!$A:$A,'Vol. Carrières'!$A$161,'Vol. Carrières'!$D:$D,'Vol. Carrières'!$D:$D)</f>
        <v>0</v>
      </c>
      <c r="AA7" s="610">
        <f>SUMIFS('Vol. Carrières'!$M:$M,'Vol. Carrières'!$A:$A,'Vol. Carrières'!$A$5,'Vol. Carrières'!$D:$D,'Vol. Carrières'!$D:$D)</f>
        <v>0</v>
      </c>
      <c r="AB7" s="611">
        <f>SUMIFS('Vol. Carrières'!$M:$M,'Vol. Carrières'!$A:$A,'Vol. Carrières'!A102,'Vol. Carrières'!$D:$D,'Vol. Carrières'!$D:$D)</f>
        <v>0</v>
      </c>
      <c r="AC7" s="612">
        <f>SUMIFS('Vol. Carrières'!M:M,'Vol. Carrières'!$A:$A,'Vol. Carrières'!$A$161,'Vol. Carrières'!$D:$D,'Vol. Carrières'!$D:$D)</f>
        <v>0</v>
      </c>
      <c r="AD7" s="610">
        <f>SUMIFS('Vol. Carrières'!$N:$N,'Vol. Carrières'!$A:$A,'Vol. Carrières'!$A$5,'Vol. Carrières'!$D:$D,'Vol. Carrières'!$D:$D)</f>
        <v>0</v>
      </c>
      <c r="AE7" s="611">
        <f>SUMIFS('Vol. Carrières'!N:N,'Vol. Carrières'!$A:$A,'Vol. Carrières'!A102,'Vol. Carrières'!$D:$D,'Vol. Carrières'!$D:$D)</f>
        <v>0</v>
      </c>
      <c r="AF7" s="612">
        <f>SUMIFS('Vol. Carrières'!$N:$N,'Vol. Carrières'!$A:$A,'Vol. Carrières'!$A$161,'Vol. Carrières'!$D:$D,'Vol. Carrières'!$D:$D)</f>
        <v>0</v>
      </c>
      <c r="AG7" s="610">
        <f>SUMIFS('Vol. Carrières'!$O:$O,'Vol. Carrières'!$A:$A,'Vol. Carrières'!$A$5,'Vol. Carrières'!$D:$D,'Vol. Carrières'!$D:$D)</f>
        <v>0</v>
      </c>
      <c r="AH7" s="611">
        <f>SUMIFS('Vol. Carrières'!$O:$O,'Vol. Carrières'!$A:$A,'Vol. Carrières'!A102,'Vol. Carrières'!$D:$D,'Vol. Carrières'!$D:$D)</f>
        <v>0</v>
      </c>
      <c r="AI7" s="612">
        <f>SUMIFS('Vol. Carrières'!O:O,'Vol. Carrières'!$A:$A,'Vol. Carrières'!$A$161,'Vol. Carrières'!$D:$D,'Vol. Carrières'!$D:$D)</f>
        <v>0</v>
      </c>
      <c r="AJ7" s="610">
        <f>SUMIFS('Vol. Carrières'!$P:$P,'Vol. Carrières'!$A:$A,'Vol. Carrières'!$A$5,'Vol. Carrières'!$D:$D,'Vol. Carrières'!$D:$D)</f>
        <v>0</v>
      </c>
      <c r="AK7" s="611">
        <f>SUMIFS('Vol. Carrières'!$P:$P,'Vol. Carrières'!$A:$A,'Vol. Carrières'!A102,'Vol. Carrières'!$D:$D,'Vol. Carrières'!$D:$D)</f>
        <v>0</v>
      </c>
      <c r="AL7" s="612">
        <f>SUMIFS('Vol. Carrières'!P:P,'Vol. Carrières'!$A:$A,'Vol. Carrières'!$A$161,'Vol. Carrières'!$D:$D,'Vol. Carrières'!$D:$D)</f>
        <v>0</v>
      </c>
      <c r="AM7" s="800"/>
      <c r="AO7" s="1"/>
      <c r="AP7" s="1"/>
      <c r="AQ7" s="1"/>
    </row>
    <row r="8" spans="1:43" ht="20.100000000000001" customHeight="1">
      <c r="A8" s="1020"/>
      <c r="B8" s="602" t="s">
        <v>2018</v>
      </c>
      <c r="C8" s="628">
        <f>C6+C7</f>
        <v>64808</v>
      </c>
      <c r="D8" s="629">
        <f t="shared" ref="D8:AL8" si="0">D6+D7</f>
        <v>41359</v>
      </c>
      <c r="E8" s="630">
        <f t="shared" si="0"/>
        <v>71894</v>
      </c>
      <c r="F8" s="628">
        <f t="shared" si="0"/>
        <v>88205</v>
      </c>
      <c r="G8" s="629">
        <f t="shared" si="0"/>
        <v>71687</v>
      </c>
      <c r="H8" s="630">
        <f t="shared" si="0"/>
        <v>66146</v>
      </c>
      <c r="I8" s="628">
        <f t="shared" si="0"/>
        <v>77397</v>
      </c>
      <c r="J8" s="629">
        <f t="shared" si="0"/>
        <v>37867</v>
      </c>
      <c r="K8" s="630">
        <f t="shared" si="0"/>
        <v>51126</v>
      </c>
      <c r="L8" s="628">
        <f t="shared" si="0"/>
        <v>0</v>
      </c>
      <c r="M8" s="629">
        <f t="shared" si="0"/>
        <v>0</v>
      </c>
      <c r="N8" s="630">
        <f t="shared" si="0"/>
        <v>0</v>
      </c>
      <c r="O8" s="628">
        <f t="shared" si="0"/>
        <v>0</v>
      </c>
      <c r="P8" s="629">
        <f t="shared" si="0"/>
        <v>0</v>
      </c>
      <c r="Q8" s="630">
        <f t="shared" si="0"/>
        <v>0</v>
      </c>
      <c r="R8" s="628">
        <f t="shared" si="0"/>
        <v>0</v>
      </c>
      <c r="S8" s="629">
        <f t="shared" si="0"/>
        <v>0</v>
      </c>
      <c r="T8" s="630">
        <f t="shared" si="0"/>
        <v>0</v>
      </c>
      <c r="U8" s="628">
        <f t="shared" si="0"/>
        <v>0</v>
      </c>
      <c r="V8" s="629">
        <f t="shared" si="0"/>
        <v>0</v>
      </c>
      <c r="W8" s="630">
        <f t="shared" si="0"/>
        <v>0</v>
      </c>
      <c r="X8" s="628">
        <f t="shared" si="0"/>
        <v>0</v>
      </c>
      <c r="Y8" s="629">
        <f t="shared" si="0"/>
        <v>0</v>
      </c>
      <c r="Z8" s="630">
        <f t="shared" si="0"/>
        <v>0</v>
      </c>
      <c r="AA8" s="628">
        <f t="shared" si="0"/>
        <v>0</v>
      </c>
      <c r="AB8" s="629">
        <f t="shared" si="0"/>
        <v>0</v>
      </c>
      <c r="AC8" s="630">
        <f t="shared" si="0"/>
        <v>0</v>
      </c>
      <c r="AD8" s="628">
        <f t="shared" si="0"/>
        <v>0</v>
      </c>
      <c r="AE8" s="629">
        <f t="shared" si="0"/>
        <v>0</v>
      </c>
      <c r="AF8" s="630">
        <f t="shared" si="0"/>
        <v>0</v>
      </c>
      <c r="AG8" s="628">
        <f t="shared" si="0"/>
        <v>0</v>
      </c>
      <c r="AH8" s="629">
        <f t="shared" si="0"/>
        <v>0</v>
      </c>
      <c r="AI8" s="630">
        <f t="shared" si="0"/>
        <v>0</v>
      </c>
      <c r="AJ8" s="628">
        <f t="shared" si="0"/>
        <v>0</v>
      </c>
      <c r="AK8" s="629">
        <f t="shared" si="0"/>
        <v>0</v>
      </c>
      <c r="AL8" s="630">
        <f t="shared" si="0"/>
        <v>0</v>
      </c>
      <c r="AM8" s="801"/>
    </row>
    <row r="9" spans="1:43" ht="20.100000000000001" customHeight="1">
      <c r="A9" s="1020"/>
      <c r="B9" s="603" t="s">
        <v>86</v>
      </c>
      <c r="C9" s="616">
        <f>SUMIFS('Vol. Carrières'!$E:$E,'Vol. Carrières'!$A:$A,"SUD",'Vol. Carrières'!$D:$D,'Vol. Carrières'!$D:$D)</f>
        <v>104750</v>
      </c>
      <c r="D9" s="617">
        <f>SUMIFS('Vol. Carrières'!$E:$E,'Vol. Carrières'!$A:$A,"NORD EST",'Vol. Carrières'!$D:$D,'Vol. Carrières'!$D:$D)</f>
        <v>32200</v>
      </c>
      <c r="E9" s="618">
        <f>SUMIFS('Vol. Carrières'!$E:$E,'Vol. Carrières'!$A:$A,"NORD OUEST",'Vol. Carrières'!$D:$D,'Vol. Carrières'!$D:$D)</f>
        <v>56350</v>
      </c>
      <c r="F9" s="616">
        <f>SUMIFS('Vol. Carrières'!$F:$F,'Vol. Carrières'!$A:$A,"SUD",'Vol. Carrières'!$D:$D,'Vol. Carrières'!$D:$D)</f>
        <v>106706</v>
      </c>
      <c r="G9" s="617">
        <f>SUMIFS('Vol. Carrières'!$F:$F,'Vol. Carrières'!$A:$A,"NORD EST",'Vol. Carrières'!$D:$D,'Vol. Carrières'!$D:$D)</f>
        <v>41400</v>
      </c>
      <c r="H9" s="618">
        <f>SUMIFS('Vol. Carrières'!$F:$F,'Vol. Carrières'!$A:$A,"NORD OUEST",'Vol. Carrières'!$D:$D,'Vol. Carrières'!$D:$D)</f>
        <v>55900</v>
      </c>
      <c r="I9" s="616">
        <f>SUMIFS('Vol. Carrières'!$G:$G,'Vol. Carrières'!$A:$A,"SUD",'Vol. Carrières'!$D:$D,'Vol. Carrières'!$D:$D)</f>
        <v>93350</v>
      </c>
      <c r="J9" s="617">
        <f>SUMIFS('Vol. Carrières'!$G:$G,'Vol. Carrières'!$A:$A,"NORD EST",'Vol. Carrières'!$D:$D,'Vol. Carrières'!$D:$D)</f>
        <v>39950</v>
      </c>
      <c r="K9" s="618">
        <f>SUMIFS('Vol. Carrières'!$G:$G,'Vol. Carrières'!$A:$A,"NORD OUEST",'Vol. Carrières'!$D:$D,'Vol. Carrières'!$D:$D)</f>
        <v>56925</v>
      </c>
      <c r="L9" s="616">
        <f>SUMIFS('Vol. Carrières'!$H:$H,'Vol. Carrières'!$A:$A,"SUD",'Vol. Carrières'!$D:$D,'Vol. Carrières'!$D:$D)</f>
        <v>116200</v>
      </c>
      <c r="M9" s="617">
        <f>SUMIFS('Vol. Carrières'!$H:$H,'Vol. Carrières'!$A:$A,"NORD EST",'Vol. Carrières'!$D:$D,'Vol. Carrières'!$D:$D)</f>
        <v>20500</v>
      </c>
      <c r="N9" s="618">
        <f>SUMIFS('Vol. Carrières'!$H:$H,'Vol. Carrières'!$A:$A,"NORD OUEST",'Vol. Carrières'!$D:$D,'Vol. Carrières'!$D:$D)</f>
        <v>54500</v>
      </c>
      <c r="O9" s="616">
        <f>SUMIFS('Vol. Carrières'!$I:$I,'Vol. Carrières'!$A:$A,"SUD",'Vol. Carrières'!$D:$D,'Vol. Carrières'!$D:$D)</f>
        <v>104620</v>
      </c>
      <c r="P9" s="617">
        <f>SUMIFS('Vol. Carrières'!$I:$I,'Vol. Carrières'!$A:$A,"NORD EST",'Vol. Carrières'!$D:$D,'Vol. Carrières'!$D:$D)</f>
        <v>15400</v>
      </c>
      <c r="Q9" s="618">
        <f>SUMIFS('Vol. Carrières'!$I:$I,'Vol. Carrières'!$A:$A,"NORD OUEST",'Vol. Carrières'!$D:$D,'Vol. Carrières'!$D:$D)</f>
        <v>35770</v>
      </c>
      <c r="R9" s="616">
        <f>SUMIFS('Vol. Carrières'!$J:$J,'Vol. Carrières'!$A:$A,"SUD",'Vol. Carrières'!$D:$D,'Vol. Carrières'!$D:$D)</f>
        <v>73610</v>
      </c>
      <c r="S9" s="617">
        <f>SUMIFS('Vol. Carrières'!$J:$J,'Vol. Carrières'!$A:$A,"NORD EST",'Vol. Carrières'!$D:$D,'Vol. Carrières'!$D:$D)</f>
        <v>19000</v>
      </c>
      <c r="T9" s="618">
        <f>SUMIFS('Vol. Carrières'!$J:$J,'Vol. Carrières'!$A:$A,"NORD OUEST",'Vol. Carrières'!$D:$D,'Vol. Carrières'!$D:$D)</f>
        <v>44414</v>
      </c>
      <c r="U9" s="616">
        <f>SUMIFS('Vol. Carrières'!$K:$K,'Vol. Carrières'!$A:$A,"SUD",'Vol. Carrières'!$D:$D,'Vol. Carrières'!$D:$D)</f>
        <v>51449</v>
      </c>
      <c r="V9" s="617">
        <f>SUMIFS('Vol. Carrières'!$K:$K,'Vol. Carrières'!$A:$A,"NORD EST",'Vol. Carrières'!$D:$D,'Vol. Carrières'!$D:$D)</f>
        <v>52431</v>
      </c>
      <c r="W9" s="618">
        <f>SUMIFS('Vol. Carrières'!$K:$K,'Vol. Carrières'!$A:$A,"NORD OUEST",'Vol. Carrières'!$D:$D,'Vol. Carrières'!$D:$D)</f>
        <v>54748</v>
      </c>
      <c r="X9" s="616">
        <f>SUMIFS('Vol. Carrières'!$L:$L,'Vol. Carrières'!$A:$A,"SUD",'Vol. Carrières'!$D:$D,'Vol. Carrières'!$D:$D)</f>
        <v>48400</v>
      </c>
      <c r="Y9" s="617">
        <f>SUMIFS('Vol. Carrières'!$L:$L,'Vol. Carrières'!$A:$A,"NORD EST",'Vol. Carrières'!$D:$D,'Vol. Carrières'!$D:$D)</f>
        <v>64200</v>
      </c>
      <c r="Z9" s="618">
        <f>SUMIFS('Vol. Carrières'!$L:$L,'Vol. Carrières'!$A:$A,"NORD OUEST",'Vol. Carrières'!$D:$D,'Vol. Carrières'!$D:$D)</f>
        <v>30600</v>
      </c>
      <c r="AA9" s="616">
        <f>SUMIFS('Vol. Carrières'!$M:$M,'Vol. Carrières'!$A:$A,"SUD",'Vol. Carrières'!$D:$D,'Vol. Carrières'!$D:$D)</f>
        <v>70435</v>
      </c>
      <c r="AB9" s="617">
        <f>SUMIFS('Vol. Carrières'!$M:$M,'Vol. Carrières'!$A:$A,"NORD EST",'Vol. Carrières'!$D:$D,'Vol. Carrières'!$D:$D)</f>
        <v>54600</v>
      </c>
      <c r="AC9" s="618">
        <f>SUMIFS('Vol. Carrières'!$M:$M,'Vol. Carrières'!$A:$A,"NORD OUEST",'Vol. Carrières'!$D:$D,'Vol. Carrières'!$D:$D)</f>
        <v>35700</v>
      </c>
      <c r="AD9" s="616">
        <f>SUMIFS('Vol. Carrières'!$N:$N,'Vol. Carrières'!$A:$A,"SUD",'Vol. Carrières'!$D:$D,'Vol. Carrières'!$D:$D)</f>
        <v>92400</v>
      </c>
      <c r="AE9" s="617">
        <f>SUMIFS('Vol. Carrières'!$N:$N,'Vol. Carrières'!$A:$A,"NORD EST",'Vol. Carrières'!$D:$D,'Vol. Carrières'!$D:$D)</f>
        <v>59350</v>
      </c>
      <c r="AF9" s="618">
        <f>SUMIFS('Vol. Carrières'!$N:$N,'Vol. Carrières'!$A:$A,"NORD OUEST",'Vol. Carrières'!$D:$D,'Vol. Carrières'!$D:$D)</f>
        <v>61839</v>
      </c>
      <c r="AG9" s="616">
        <f>SUMIFS('Vol. Carrières'!$O:$O,'Vol. Carrières'!$A:$A,"SUD",'Vol. Carrières'!$D:$D,'Vol. Carrières'!$D:$D)</f>
        <v>84600</v>
      </c>
      <c r="AH9" s="617">
        <f>SUMIFS('Vol. Carrières'!$O:$O,'Vol. Carrières'!$A:$A,"NORD EST",'Vol. Carrières'!$D:$D,'Vol. Carrières'!$D:$D)</f>
        <v>37000</v>
      </c>
      <c r="AI9" s="618">
        <f>SUMIFS('Vol. Carrières'!$O:$O,'Vol. Carrières'!$A:$A,"NORD OUEST",'Vol. Carrières'!$D:$D,'Vol. Carrières'!$D:$D)</f>
        <v>36800</v>
      </c>
      <c r="AJ9" s="616">
        <f>SUMIFS('Vol. Carrières'!$P:$P,'Vol. Carrières'!$A:$A,"SUD",'Vol. Carrières'!$D:$D,'Vol. Carrières'!$D:$D)</f>
        <v>31600</v>
      </c>
      <c r="AK9" s="617">
        <f>SUMIFS('Vol. Carrières'!$P:$P,'Vol. Carrières'!$A:$A,"NORD EST",'Vol. Carrières'!$D:$D,'Vol. Carrières'!$D:$D)</f>
        <v>4350</v>
      </c>
      <c r="AL9" s="618">
        <f>SUMIFS('Vol. Carrières'!$P:$P,'Vol. Carrières'!$A:$A,"NORD OUEST",'Vol. Carrières'!$D:$D,'Vol. Carrières'!$D:$D)</f>
        <v>18900</v>
      </c>
      <c r="AM9" s="802"/>
      <c r="AN9" s="10"/>
    </row>
    <row r="10" spans="1:43" ht="20.100000000000001" customHeight="1">
      <c r="A10" s="1021"/>
      <c r="B10" s="604" t="s">
        <v>1912</v>
      </c>
      <c r="C10" s="613">
        <f>SUMIFS('Vol. Carrières'!$E:$E,'Vol. Carrières'!$A:$A,"SUD",'Vol. Carrières'!$D:$D,'Vol. Carrières'!$D:$D)</f>
        <v>104750</v>
      </c>
      <c r="D10" s="614">
        <f>SUMIFS('Vol. Carrières'!$E:$E,'Vol. Carrières'!$A:$A,"NORD EST",'Vol. Carrières'!$D:$D,'Vol. Carrières'!$D:$D)</f>
        <v>32200</v>
      </c>
      <c r="E10" s="615">
        <f>SUMIFS('Vol. Carrières'!$E:$E,'Vol. Carrières'!$A:$A,"NORD OUEST",'Vol. Carrières'!$D:$D,'Vol. Carrières'!$D:$D)</f>
        <v>56350</v>
      </c>
      <c r="F10" s="613">
        <f>SUMIFS('Vol. Carrières'!$F:$F,'Vol. Carrières'!$A:$A,"SUD",'Vol. Carrières'!$D:$D,'Vol. Carrières'!$D:$D)</f>
        <v>102106</v>
      </c>
      <c r="G10" s="614">
        <f>SUMIFS('Vol. Carrières'!$F:$F,'Vol. Carrières'!$A:$A,"NORD EST",'Vol. Carrières'!$D:$D,'Vol. Carrières'!$D:$D)</f>
        <v>19700</v>
      </c>
      <c r="H10" s="615">
        <f>SUMIFS('Vol. Carrières'!$F:$F,'Vol. Carrières'!$A:$A,"NORD OUEST",'Vol. Carrières'!$D:$D,'Vol. Carrières'!$D:$D)</f>
        <v>10900</v>
      </c>
      <c r="I10" s="613">
        <f>SUMIFS('Vol. Carrières'!$G:$G,'Vol. Carrières'!$A:$A,"SUD",'Vol. Carrières'!$D:$D,'Vol. Carrières'!$D:$D)</f>
        <v>98506</v>
      </c>
      <c r="J10" s="614">
        <f>SUMIFS('Vol. Carrières'!$G:$G,'Vol. Carrières'!$A:$A,"NORD EST",'Vol. Carrières'!$D:$D,'Vol. Carrières'!$D:$D)</f>
        <v>27950</v>
      </c>
      <c r="K10" s="615">
        <f>SUMIFS('Vol. Carrières'!$G:$G,'Vol. Carrières'!$A:$A,"NORD OUEST",'Vol. Carrières'!$D:$D,'Vol. Carrières'!$D:$D)</f>
        <v>57625</v>
      </c>
      <c r="L10" s="613">
        <f>SUMIFS('Vol. Carrières'!$H:$H,'Vol. Carrières'!$A:$A,"SUD",'Vol. Carrières'!$D:$D,'Vol. Carrières'!$D:$D)</f>
        <v>133700</v>
      </c>
      <c r="M10" s="614">
        <f>SUMIFS('Vol. Carrières'!$H:$H,'Vol. Carrières'!$A:$A,"NORD EST",'Vol. Carrières'!$D:$D,'Vol. Carrières'!$D:$D)</f>
        <v>32000</v>
      </c>
      <c r="N10" s="615">
        <f>SUMIFS('Vol. Carrières'!$H:$H,'Vol. Carrières'!$A:$A,"NORD OUEST",'Vol. Carrières'!$D:$D,'Vol. Carrières'!$D:$D)</f>
        <v>48000</v>
      </c>
      <c r="O10" s="613">
        <f>SUMIFS('Vol. Carrières'!$I:$I,'Vol. Carrières'!$A:$A,"SUD",'Vol. Carrières'!$D:$D,'Vol. Carrières'!$D:$D)</f>
        <v>91440</v>
      </c>
      <c r="P10" s="614">
        <f>SUMIFS('Vol. Carrières'!$I:$I,'Vol. Carrières'!$A:$A,"NORD EST",'Vol. Carrières'!$D:$D,'Vol. Carrières'!$D:$D)</f>
        <v>12000</v>
      </c>
      <c r="Q10" s="615">
        <f>SUMIFS('Vol. Carrières'!$I:$I,'Vol. Carrières'!$A:$A,"NORD OUEST",'Vol. Carrières'!$D:$D,'Vol. Carrières'!$D:$D)</f>
        <v>36370</v>
      </c>
      <c r="R10" s="613">
        <f>SUMIFS('Vol. Carrières'!$J:$J,'Vol. Carrières'!$A:$A,"SUD",'Vol. Carrières'!$D:$D,'Vol. Carrières'!$D:$D)</f>
        <v>71010</v>
      </c>
      <c r="S10" s="614">
        <f>SUMIFS('Vol. Carrières'!$J:$J,'Vol. Carrières'!$A:$A,"NORD EST",'Vol. Carrières'!$D:$D,'Vol. Carrières'!$D:$D)</f>
        <v>30500</v>
      </c>
      <c r="T10" s="615">
        <f>SUMIFS('Vol. Carrières'!$J:$J,'Vol. Carrières'!$A:$A,"NORD OUEST",'Vol. Carrières'!$D:$D,'Vol. Carrières'!$D:$D)</f>
        <v>51660</v>
      </c>
      <c r="U10" s="613">
        <f>SUMIFS('Vol. Carrières'!$K:$K,'Vol. Carrières'!$A:$A,"SUD",'Vol. Carrières'!$D:$D,'Vol. Carrières'!$D:$D)</f>
        <v>66244</v>
      </c>
      <c r="V10" s="614">
        <f>SUMIFS('Vol. Carrières'!$K:$K,'Vol. Carrières'!$A:$A,"NORD EST",'Vol. Carrières'!$D:$D,'Vol. Carrières'!$D:$D)</f>
        <v>82631</v>
      </c>
      <c r="W10" s="615">
        <f>SUMIFS('Vol. Carrières'!$K:$K,'Vol. Carrières'!$A:$A,"NORD OUEST",'Vol. Carrières'!$D:$D,'Vol. Carrières'!$D:$D)</f>
        <v>53198</v>
      </c>
      <c r="X10" s="613">
        <f>SUMIFS('Vol. Carrières'!$L:$L,'Vol. Carrières'!$A:$A,"SUD",'Vol. Carrières'!$D:$D,'Vol. Carrières'!$D:$D)</f>
        <v>45500</v>
      </c>
      <c r="Y10" s="614">
        <f>SUMIFS('Vol. Carrières'!$L:$L,'Vol. Carrières'!$A:$A,"NORD EST",'Vol. Carrières'!$D:$D,'Vol. Carrières'!$D:$D)</f>
        <v>53850</v>
      </c>
      <c r="Z10" s="615">
        <f>SUMIFS('Vol. Carrières'!$L:$L,'Vol. Carrières'!$A:$A,"NORD OUEST",'Vol. Carrières'!$D:$D,'Vol. Carrières'!$D:$D)</f>
        <v>28100</v>
      </c>
      <c r="AA10" s="613">
        <f>SUMIFS('Vol. Carrières'!$M:$M,'Vol. Carrières'!$A:$A,"SUD",'Vol. Carrières'!$D:$D,'Vol. Carrières'!$D:$D)</f>
        <v>59935</v>
      </c>
      <c r="AB10" s="614">
        <f>SUMIFS('Vol. Carrières'!$M:$M,'Vol. Carrières'!$A:$A,"NORD EST",'Vol. Carrières'!$D:$D,'Vol. Carrières'!$D:$D)</f>
        <v>44600</v>
      </c>
      <c r="AC10" s="615">
        <f>SUMIFS('Vol. Carrières'!$M:$M,'Vol. Carrières'!$A:$A,"NORD OUEST",'Vol. Carrières'!$D:$D,'Vol. Carrières'!$D:$D)</f>
        <v>41400</v>
      </c>
      <c r="AD10" s="613">
        <f>SUMIFS('Vol. Carrières'!$N:$N,'Vol. Carrières'!$A:$A,"SUD",'Vol. Carrières'!$D:$D,'Vol. Carrières'!$D:$D)</f>
        <v>88054</v>
      </c>
      <c r="AE10" s="614">
        <f>SUMIFS('Vol. Carrières'!$N:$N,'Vol. Carrières'!$A:$A,"NORD EST",'Vol. Carrières'!$D:$D,'Vol. Carrières'!$D:$D)</f>
        <v>55450</v>
      </c>
      <c r="AF10" s="615">
        <f>SUMIFS('Vol. Carrières'!$N:$N,'Vol. Carrières'!$A:$A,"NORD OUEST",'Vol. Carrières'!$D:$D,'Vol. Carrières'!$D:$D)</f>
        <v>63739</v>
      </c>
      <c r="AG10" s="613">
        <f>SUMIFS('Vol. Carrières'!$O:$O,'Vol. Carrières'!$A:$A,"SUD",'Vol. Carrières'!$D:$D,'Vol. Carrières'!$D:$D)</f>
        <v>85000</v>
      </c>
      <c r="AH10" s="614">
        <f>SUMIFS('Vol. Carrières'!$O:$O,'Vol. Carrières'!$A:$A,"NORD EST",'Vol. Carrières'!$D:$D,'Vol. Carrières'!$D:$D)</f>
        <v>36600</v>
      </c>
      <c r="AI10" s="615">
        <f>SUMIFS('Vol. Carrières'!$O:$O,'Vol. Carrières'!$A:$A,"NORD OUEST",'Vol. Carrières'!$D:$D,'Vol. Carrières'!$D:$D)</f>
        <v>40800</v>
      </c>
      <c r="AJ10" s="613">
        <f>SUMIFS('Vol. Carrières'!$P:$P,'Vol. Carrières'!$A:$A,"SUD",'Vol. Carrières'!$D:$D,'Vol. Carrières'!$D:$D)</f>
        <v>36200</v>
      </c>
      <c r="AK10" s="614">
        <f>SUMIFS('Vol. Carrières'!$P:$P,'Vol. Carrières'!$A:$A,"NORD EST",'Vol. Carrières'!$D:$D,'Vol. Carrières'!$D:$D)</f>
        <v>4350</v>
      </c>
      <c r="AL10" s="615">
        <f>SUMIFS('Vol. Carrières'!$P:$P,'Vol. Carrières'!$A:$A,"NORD OUEST",'Vol. Carrières'!$D:$D,'Vol. Carrières'!$D:$D)</f>
        <v>21900</v>
      </c>
      <c r="AM10" s="803"/>
      <c r="AN10" s="10"/>
      <c r="AO10" s="815"/>
      <c r="AP10" s="815"/>
      <c r="AQ10" s="815"/>
    </row>
    <row r="11" spans="1:43" ht="20.100000000000001" customHeight="1">
      <c r="A11" s="669"/>
      <c r="B11" s="670"/>
      <c r="C11" s="655" t="s">
        <v>29</v>
      </c>
      <c r="D11" s="654" t="s">
        <v>29</v>
      </c>
      <c r="E11" s="656" t="s">
        <v>29</v>
      </c>
      <c r="F11" s="655" t="s">
        <v>30</v>
      </c>
      <c r="G11" s="654" t="s">
        <v>30</v>
      </c>
      <c r="H11" s="656" t="s">
        <v>30</v>
      </c>
      <c r="I11" s="655" t="s">
        <v>31</v>
      </c>
      <c r="J11" s="654" t="s">
        <v>31</v>
      </c>
      <c r="K11" s="656" t="s">
        <v>31</v>
      </c>
      <c r="L11" s="655" t="s">
        <v>32</v>
      </c>
      <c r="M11" s="654" t="s">
        <v>32</v>
      </c>
      <c r="N11" s="656" t="s">
        <v>32</v>
      </c>
      <c r="O11" s="655" t="s">
        <v>33</v>
      </c>
      <c r="P11" s="654" t="s">
        <v>33</v>
      </c>
      <c r="Q11" s="656" t="s">
        <v>33</v>
      </c>
      <c r="R11" s="655" t="s">
        <v>34</v>
      </c>
      <c r="S11" s="654" t="s">
        <v>34</v>
      </c>
      <c r="T11" s="656" t="s">
        <v>34</v>
      </c>
      <c r="U11" s="655" t="s">
        <v>35</v>
      </c>
      <c r="V11" s="654" t="s">
        <v>35</v>
      </c>
      <c r="W11" s="656" t="s">
        <v>35</v>
      </c>
      <c r="X11" s="655" t="s">
        <v>65</v>
      </c>
      <c r="Y11" s="654" t="s">
        <v>65</v>
      </c>
      <c r="Z11" s="656" t="s">
        <v>65</v>
      </c>
      <c r="AA11" s="655" t="s">
        <v>37</v>
      </c>
      <c r="AB11" s="654" t="s">
        <v>37</v>
      </c>
      <c r="AC11" s="656" t="s">
        <v>37</v>
      </c>
      <c r="AD11" s="655" t="s">
        <v>38</v>
      </c>
      <c r="AE11" s="654" t="s">
        <v>38</v>
      </c>
      <c r="AF11" s="656" t="s">
        <v>38</v>
      </c>
      <c r="AG11" s="655" t="s">
        <v>39</v>
      </c>
      <c r="AH11" s="654" t="s">
        <v>39</v>
      </c>
      <c r="AI11" s="656" t="s">
        <v>39</v>
      </c>
      <c r="AJ11" s="655" t="s">
        <v>40</v>
      </c>
      <c r="AK11" s="654" t="s">
        <v>40</v>
      </c>
      <c r="AL11" s="657" t="s">
        <v>40</v>
      </c>
      <c r="AM11" s="797"/>
      <c r="AN11" s="10"/>
      <c r="AO11" s="814"/>
      <c r="AP11" s="814"/>
      <c r="AQ11" s="814"/>
    </row>
    <row r="12" spans="1:43" ht="20.100000000000001" customHeight="1">
      <c r="A12" s="671"/>
      <c r="B12" s="672"/>
      <c r="C12" s="597" t="s">
        <v>43</v>
      </c>
      <c r="D12" s="598" t="s">
        <v>44</v>
      </c>
      <c r="E12" s="599" t="s">
        <v>45</v>
      </c>
      <c r="F12" s="597" t="s">
        <v>43</v>
      </c>
      <c r="G12" s="598" t="s">
        <v>44</v>
      </c>
      <c r="H12" s="599" t="s">
        <v>45</v>
      </c>
      <c r="I12" s="597" t="s">
        <v>43</v>
      </c>
      <c r="J12" s="598" t="s">
        <v>44</v>
      </c>
      <c r="K12" s="599" t="s">
        <v>45</v>
      </c>
      <c r="L12" s="597" t="s">
        <v>43</v>
      </c>
      <c r="M12" s="598" t="s">
        <v>44</v>
      </c>
      <c r="N12" s="599" t="s">
        <v>45</v>
      </c>
      <c r="O12" s="597" t="s">
        <v>43</v>
      </c>
      <c r="P12" s="598" t="s">
        <v>44</v>
      </c>
      <c r="Q12" s="599" t="s">
        <v>45</v>
      </c>
      <c r="R12" s="597" t="s">
        <v>43</v>
      </c>
      <c r="S12" s="598" t="s">
        <v>44</v>
      </c>
      <c r="T12" s="599" t="s">
        <v>45</v>
      </c>
      <c r="U12" s="597" t="s">
        <v>43</v>
      </c>
      <c r="V12" s="598" t="s">
        <v>44</v>
      </c>
      <c r="W12" s="599" t="s">
        <v>45</v>
      </c>
      <c r="X12" s="597" t="s">
        <v>43</v>
      </c>
      <c r="Y12" s="598" t="s">
        <v>44</v>
      </c>
      <c r="Z12" s="599" t="s">
        <v>45</v>
      </c>
      <c r="AA12" s="597" t="s">
        <v>43</v>
      </c>
      <c r="AB12" s="598" t="s">
        <v>44</v>
      </c>
      <c r="AC12" s="599" t="s">
        <v>45</v>
      </c>
      <c r="AD12" s="597" t="s">
        <v>43</v>
      </c>
      <c r="AE12" s="598" t="s">
        <v>44</v>
      </c>
      <c r="AF12" s="599" t="s">
        <v>45</v>
      </c>
      <c r="AG12" s="597" t="s">
        <v>43</v>
      </c>
      <c r="AH12" s="598" t="s">
        <v>44</v>
      </c>
      <c r="AI12" s="599" t="s">
        <v>45</v>
      </c>
      <c r="AJ12" s="597" t="s">
        <v>43</v>
      </c>
      <c r="AK12" s="598" t="s">
        <v>44</v>
      </c>
      <c r="AL12" s="599" t="s">
        <v>45</v>
      </c>
      <c r="AM12" s="798"/>
      <c r="AN12" s="10"/>
      <c r="AO12" s="10"/>
      <c r="AP12" s="10"/>
      <c r="AQ12" s="10"/>
    </row>
    <row r="13" spans="1:43" ht="20.100000000000001" customHeight="1">
      <c r="A13" s="1019" t="s">
        <v>2047</v>
      </c>
      <c r="B13" s="605" t="s">
        <v>2019</v>
      </c>
      <c r="C13" s="622">
        <f t="shared" ref="C13:E17" si="1">C6</f>
        <v>48638</v>
      </c>
      <c r="D13" s="623">
        <f t="shared" si="1"/>
        <v>40637</v>
      </c>
      <c r="E13" s="624">
        <f t="shared" si="1"/>
        <v>60506</v>
      </c>
      <c r="F13" s="622">
        <f t="shared" ref="F13:O17" si="2">F6+C13</f>
        <v>115728</v>
      </c>
      <c r="G13" s="623">
        <f t="shared" si="2"/>
        <v>95725</v>
      </c>
      <c r="H13" s="624">
        <f t="shared" si="2"/>
        <v>117667</v>
      </c>
      <c r="I13" s="622">
        <f t="shared" si="2"/>
        <v>186334</v>
      </c>
      <c r="J13" s="623">
        <f t="shared" si="2"/>
        <v>128116</v>
      </c>
      <c r="K13" s="624">
        <f t="shared" si="2"/>
        <v>165458</v>
      </c>
      <c r="L13" s="622">
        <f t="shared" si="2"/>
        <v>186334</v>
      </c>
      <c r="M13" s="623">
        <f t="shared" si="2"/>
        <v>128116</v>
      </c>
      <c r="N13" s="624">
        <f t="shared" si="2"/>
        <v>165458</v>
      </c>
      <c r="O13" s="622">
        <f t="shared" si="2"/>
        <v>186334</v>
      </c>
      <c r="P13" s="623">
        <f t="shared" ref="P13:Y17" si="3">P6+M13</f>
        <v>128116</v>
      </c>
      <c r="Q13" s="624">
        <f t="shared" si="3"/>
        <v>165458</v>
      </c>
      <c r="R13" s="622">
        <f t="shared" si="3"/>
        <v>186334</v>
      </c>
      <c r="S13" s="623">
        <f t="shared" si="3"/>
        <v>128116</v>
      </c>
      <c r="T13" s="624">
        <f t="shared" si="3"/>
        <v>165458</v>
      </c>
      <c r="U13" s="622">
        <f t="shared" si="3"/>
        <v>186334</v>
      </c>
      <c r="V13" s="623">
        <f t="shared" si="3"/>
        <v>128116</v>
      </c>
      <c r="W13" s="624">
        <f t="shared" si="3"/>
        <v>165458</v>
      </c>
      <c r="X13" s="622">
        <f t="shared" si="3"/>
        <v>186334</v>
      </c>
      <c r="Y13" s="623">
        <f t="shared" si="3"/>
        <v>128116</v>
      </c>
      <c r="Z13" s="624">
        <f t="shared" ref="Z13:AI17" si="4">Z6+W13</f>
        <v>165458</v>
      </c>
      <c r="AA13" s="622">
        <f t="shared" si="4"/>
        <v>186334</v>
      </c>
      <c r="AB13" s="623">
        <f t="shared" si="4"/>
        <v>128116</v>
      </c>
      <c r="AC13" s="624">
        <f t="shared" si="4"/>
        <v>165458</v>
      </c>
      <c r="AD13" s="622">
        <f t="shared" si="4"/>
        <v>186334</v>
      </c>
      <c r="AE13" s="623">
        <f t="shared" si="4"/>
        <v>128116</v>
      </c>
      <c r="AF13" s="624">
        <f t="shared" si="4"/>
        <v>165458</v>
      </c>
      <c r="AG13" s="622">
        <f t="shared" si="4"/>
        <v>186334</v>
      </c>
      <c r="AH13" s="623">
        <f t="shared" si="4"/>
        <v>128116</v>
      </c>
      <c r="AI13" s="624">
        <f t="shared" si="4"/>
        <v>165458</v>
      </c>
      <c r="AJ13" s="622">
        <f t="shared" ref="AJ13:AL17" si="5">AJ6+AG13</f>
        <v>186334</v>
      </c>
      <c r="AK13" s="623">
        <f t="shared" si="5"/>
        <v>128116</v>
      </c>
      <c r="AL13" s="624">
        <f t="shared" si="5"/>
        <v>165458</v>
      </c>
      <c r="AM13" s="804"/>
      <c r="AN13" s="10"/>
      <c r="AO13" s="10"/>
      <c r="AP13" s="10"/>
      <c r="AQ13" s="10"/>
    </row>
    <row r="14" spans="1:43" ht="20.100000000000001" customHeight="1">
      <c r="A14" s="1020"/>
      <c r="B14" s="606" t="s">
        <v>2017</v>
      </c>
      <c r="C14" s="625">
        <f t="shared" si="1"/>
        <v>16170</v>
      </c>
      <c r="D14" s="626">
        <f t="shared" si="1"/>
        <v>722</v>
      </c>
      <c r="E14" s="627">
        <f t="shared" si="1"/>
        <v>11388</v>
      </c>
      <c r="F14" s="625">
        <f t="shared" si="2"/>
        <v>37285</v>
      </c>
      <c r="G14" s="626">
        <f t="shared" si="2"/>
        <v>17321</v>
      </c>
      <c r="H14" s="627">
        <f t="shared" si="2"/>
        <v>20373</v>
      </c>
      <c r="I14" s="625">
        <f t="shared" si="2"/>
        <v>44076</v>
      </c>
      <c r="J14" s="626">
        <f t="shared" si="2"/>
        <v>22797</v>
      </c>
      <c r="K14" s="627">
        <f t="shared" si="2"/>
        <v>23708</v>
      </c>
      <c r="L14" s="625">
        <f t="shared" si="2"/>
        <v>44076</v>
      </c>
      <c r="M14" s="626">
        <f t="shared" si="2"/>
        <v>22797</v>
      </c>
      <c r="N14" s="627">
        <f t="shared" si="2"/>
        <v>23708</v>
      </c>
      <c r="O14" s="625">
        <f t="shared" si="2"/>
        <v>44076</v>
      </c>
      <c r="P14" s="626">
        <f t="shared" si="3"/>
        <v>22797</v>
      </c>
      <c r="Q14" s="627">
        <f t="shared" si="3"/>
        <v>23708</v>
      </c>
      <c r="R14" s="625">
        <f t="shared" si="3"/>
        <v>44076</v>
      </c>
      <c r="S14" s="626">
        <f t="shared" si="3"/>
        <v>22797</v>
      </c>
      <c r="T14" s="627">
        <f t="shared" si="3"/>
        <v>23708</v>
      </c>
      <c r="U14" s="625">
        <f t="shared" si="3"/>
        <v>44076</v>
      </c>
      <c r="V14" s="626">
        <f t="shared" si="3"/>
        <v>22797</v>
      </c>
      <c r="W14" s="627">
        <f t="shared" si="3"/>
        <v>23708</v>
      </c>
      <c r="X14" s="625">
        <f t="shared" si="3"/>
        <v>44076</v>
      </c>
      <c r="Y14" s="626">
        <f t="shared" si="3"/>
        <v>22797</v>
      </c>
      <c r="Z14" s="627">
        <f t="shared" si="4"/>
        <v>23708</v>
      </c>
      <c r="AA14" s="625">
        <f t="shared" si="4"/>
        <v>44076</v>
      </c>
      <c r="AB14" s="626">
        <f t="shared" si="4"/>
        <v>22797</v>
      </c>
      <c r="AC14" s="627">
        <f t="shared" si="4"/>
        <v>23708</v>
      </c>
      <c r="AD14" s="625">
        <f t="shared" si="4"/>
        <v>44076</v>
      </c>
      <c r="AE14" s="626">
        <f t="shared" si="4"/>
        <v>22797</v>
      </c>
      <c r="AF14" s="627">
        <f t="shared" si="4"/>
        <v>23708</v>
      </c>
      <c r="AG14" s="625">
        <f t="shared" si="4"/>
        <v>44076</v>
      </c>
      <c r="AH14" s="626">
        <f t="shared" si="4"/>
        <v>22797</v>
      </c>
      <c r="AI14" s="627">
        <f t="shared" si="4"/>
        <v>23708</v>
      </c>
      <c r="AJ14" s="625">
        <f t="shared" si="5"/>
        <v>44076</v>
      </c>
      <c r="AK14" s="626">
        <f t="shared" si="5"/>
        <v>22797</v>
      </c>
      <c r="AL14" s="627">
        <f t="shared" si="5"/>
        <v>23708</v>
      </c>
      <c r="AM14" s="805"/>
    </row>
    <row r="15" spans="1:43" ht="20.100000000000001" customHeight="1">
      <c r="A15" s="1020"/>
      <c r="B15" s="607" t="s">
        <v>95</v>
      </c>
      <c r="C15" s="631">
        <f t="shared" si="1"/>
        <v>64808</v>
      </c>
      <c r="D15" s="632">
        <f t="shared" si="1"/>
        <v>41359</v>
      </c>
      <c r="E15" s="633">
        <f t="shared" si="1"/>
        <v>71894</v>
      </c>
      <c r="F15" s="631">
        <f t="shared" si="2"/>
        <v>153013</v>
      </c>
      <c r="G15" s="632">
        <f t="shared" si="2"/>
        <v>113046</v>
      </c>
      <c r="H15" s="633">
        <f t="shared" si="2"/>
        <v>138040</v>
      </c>
      <c r="I15" s="631">
        <f t="shared" si="2"/>
        <v>230410</v>
      </c>
      <c r="J15" s="632">
        <f t="shared" si="2"/>
        <v>150913</v>
      </c>
      <c r="K15" s="633">
        <f t="shared" si="2"/>
        <v>189166</v>
      </c>
      <c r="L15" s="631">
        <f t="shared" si="2"/>
        <v>230410</v>
      </c>
      <c r="M15" s="632">
        <f t="shared" si="2"/>
        <v>150913</v>
      </c>
      <c r="N15" s="633">
        <f t="shared" si="2"/>
        <v>189166</v>
      </c>
      <c r="O15" s="631">
        <f t="shared" si="2"/>
        <v>230410</v>
      </c>
      <c r="P15" s="632">
        <f t="shared" si="3"/>
        <v>150913</v>
      </c>
      <c r="Q15" s="633">
        <f t="shared" si="3"/>
        <v>189166</v>
      </c>
      <c r="R15" s="631">
        <f t="shared" si="3"/>
        <v>230410</v>
      </c>
      <c r="S15" s="632">
        <f t="shared" si="3"/>
        <v>150913</v>
      </c>
      <c r="T15" s="633">
        <f t="shared" si="3"/>
        <v>189166</v>
      </c>
      <c r="U15" s="631">
        <f t="shared" si="3"/>
        <v>230410</v>
      </c>
      <c r="V15" s="632">
        <f t="shared" si="3"/>
        <v>150913</v>
      </c>
      <c r="W15" s="633">
        <f t="shared" si="3"/>
        <v>189166</v>
      </c>
      <c r="X15" s="631">
        <f t="shared" si="3"/>
        <v>230410</v>
      </c>
      <c r="Y15" s="632">
        <f t="shared" si="3"/>
        <v>150913</v>
      </c>
      <c r="Z15" s="633">
        <f t="shared" si="4"/>
        <v>189166</v>
      </c>
      <c r="AA15" s="631">
        <f t="shared" si="4"/>
        <v>230410</v>
      </c>
      <c r="AB15" s="632">
        <f t="shared" si="4"/>
        <v>150913</v>
      </c>
      <c r="AC15" s="633">
        <f t="shared" si="4"/>
        <v>189166</v>
      </c>
      <c r="AD15" s="631">
        <f t="shared" si="4"/>
        <v>230410</v>
      </c>
      <c r="AE15" s="632">
        <f t="shared" si="4"/>
        <v>150913</v>
      </c>
      <c r="AF15" s="633">
        <f t="shared" si="4"/>
        <v>189166</v>
      </c>
      <c r="AG15" s="631">
        <f t="shared" si="4"/>
        <v>230410</v>
      </c>
      <c r="AH15" s="632">
        <f t="shared" si="4"/>
        <v>150913</v>
      </c>
      <c r="AI15" s="633">
        <f t="shared" si="4"/>
        <v>189166</v>
      </c>
      <c r="AJ15" s="631">
        <f t="shared" si="5"/>
        <v>230410</v>
      </c>
      <c r="AK15" s="632">
        <f t="shared" si="5"/>
        <v>150913</v>
      </c>
      <c r="AL15" s="633">
        <f t="shared" si="5"/>
        <v>189166</v>
      </c>
      <c r="AM15" s="806"/>
    </row>
    <row r="16" spans="1:43" ht="20.100000000000001" customHeight="1">
      <c r="A16" s="1020"/>
      <c r="B16" s="608" t="s">
        <v>2022</v>
      </c>
      <c r="C16" s="634">
        <f t="shared" si="1"/>
        <v>104750</v>
      </c>
      <c r="D16" s="635">
        <f t="shared" si="1"/>
        <v>32200</v>
      </c>
      <c r="E16" s="636">
        <f t="shared" si="1"/>
        <v>56350</v>
      </c>
      <c r="F16" s="634">
        <f t="shared" si="2"/>
        <v>211456</v>
      </c>
      <c r="G16" s="635">
        <f t="shared" si="2"/>
        <v>73600</v>
      </c>
      <c r="H16" s="636">
        <f t="shared" si="2"/>
        <v>112250</v>
      </c>
      <c r="I16" s="634">
        <f t="shared" si="2"/>
        <v>304806</v>
      </c>
      <c r="J16" s="635">
        <f t="shared" si="2"/>
        <v>113550</v>
      </c>
      <c r="K16" s="636">
        <f t="shared" si="2"/>
        <v>169175</v>
      </c>
      <c r="L16" s="634">
        <f t="shared" si="2"/>
        <v>421006</v>
      </c>
      <c r="M16" s="635">
        <f t="shared" si="2"/>
        <v>134050</v>
      </c>
      <c r="N16" s="636">
        <f t="shared" si="2"/>
        <v>223675</v>
      </c>
      <c r="O16" s="634">
        <f t="shared" si="2"/>
        <v>525626</v>
      </c>
      <c r="P16" s="635">
        <f t="shared" si="3"/>
        <v>149450</v>
      </c>
      <c r="Q16" s="636">
        <f t="shared" si="3"/>
        <v>259445</v>
      </c>
      <c r="R16" s="634">
        <f t="shared" si="3"/>
        <v>599236</v>
      </c>
      <c r="S16" s="635">
        <f t="shared" si="3"/>
        <v>168450</v>
      </c>
      <c r="T16" s="636">
        <f t="shared" si="3"/>
        <v>303859</v>
      </c>
      <c r="U16" s="634">
        <f t="shared" si="3"/>
        <v>650685</v>
      </c>
      <c r="V16" s="635">
        <f t="shared" si="3"/>
        <v>220881</v>
      </c>
      <c r="W16" s="636">
        <f t="shared" si="3"/>
        <v>358607</v>
      </c>
      <c r="X16" s="634">
        <f t="shared" si="3"/>
        <v>699085</v>
      </c>
      <c r="Y16" s="635">
        <f t="shared" si="3"/>
        <v>285081</v>
      </c>
      <c r="Z16" s="636">
        <f t="shared" si="4"/>
        <v>389207</v>
      </c>
      <c r="AA16" s="634">
        <f t="shared" si="4"/>
        <v>769520</v>
      </c>
      <c r="AB16" s="635">
        <f t="shared" si="4"/>
        <v>339681</v>
      </c>
      <c r="AC16" s="636">
        <f t="shared" si="4"/>
        <v>424907</v>
      </c>
      <c r="AD16" s="634">
        <f t="shared" si="4"/>
        <v>861920</v>
      </c>
      <c r="AE16" s="635">
        <f t="shared" si="4"/>
        <v>399031</v>
      </c>
      <c r="AF16" s="636">
        <f t="shared" si="4"/>
        <v>486746</v>
      </c>
      <c r="AG16" s="634">
        <f t="shared" si="4"/>
        <v>946520</v>
      </c>
      <c r="AH16" s="635">
        <f t="shared" si="4"/>
        <v>436031</v>
      </c>
      <c r="AI16" s="636">
        <f t="shared" si="4"/>
        <v>523546</v>
      </c>
      <c r="AJ16" s="634">
        <f t="shared" si="5"/>
        <v>978120</v>
      </c>
      <c r="AK16" s="635">
        <f t="shared" si="5"/>
        <v>440381</v>
      </c>
      <c r="AL16" s="636">
        <f t="shared" si="5"/>
        <v>542446</v>
      </c>
      <c r="AM16" s="807"/>
    </row>
    <row r="17" spans="1:39" ht="20.100000000000001" customHeight="1">
      <c r="A17" s="1021"/>
      <c r="B17" s="609" t="s">
        <v>2023</v>
      </c>
      <c r="C17" s="637">
        <f t="shared" si="1"/>
        <v>104750</v>
      </c>
      <c r="D17" s="638">
        <f t="shared" si="1"/>
        <v>32200</v>
      </c>
      <c r="E17" s="639">
        <f t="shared" si="1"/>
        <v>56350</v>
      </c>
      <c r="F17" s="637">
        <f t="shared" si="2"/>
        <v>206856</v>
      </c>
      <c r="G17" s="638">
        <f t="shared" si="2"/>
        <v>51900</v>
      </c>
      <c r="H17" s="639">
        <f t="shared" si="2"/>
        <v>67250</v>
      </c>
      <c r="I17" s="637">
        <f t="shared" si="2"/>
        <v>305362</v>
      </c>
      <c r="J17" s="638">
        <f t="shared" si="2"/>
        <v>79850</v>
      </c>
      <c r="K17" s="639">
        <f t="shared" si="2"/>
        <v>124875</v>
      </c>
      <c r="L17" s="637">
        <f t="shared" si="2"/>
        <v>439062</v>
      </c>
      <c r="M17" s="638">
        <f t="shared" si="2"/>
        <v>111850</v>
      </c>
      <c r="N17" s="639">
        <f t="shared" si="2"/>
        <v>172875</v>
      </c>
      <c r="O17" s="637">
        <f t="shared" si="2"/>
        <v>530502</v>
      </c>
      <c r="P17" s="638">
        <f t="shared" si="3"/>
        <v>123850</v>
      </c>
      <c r="Q17" s="639">
        <f t="shared" si="3"/>
        <v>209245</v>
      </c>
      <c r="R17" s="637">
        <f t="shared" si="3"/>
        <v>601512</v>
      </c>
      <c r="S17" s="638">
        <f t="shared" si="3"/>
        <v>154350</v>
      </c>
      <c r="T17" s="639">
        <f t="shared" si="3"/>
        <v>260905</v>
      </c>
      <c r="U17" s="637">
        <f t="shared" si="3"/>
        <v>667756</v>
      </c>
      <c r="V17" s="638">
        <f t="shared" si="3"/>
        <v>236981</v>
      </c>
      <c r="W17" s="639">
        <f t="shared" si="3"/>
        <v>314103</v>
      </c>
      <c r="X17" s="637">
        <f t="shared" si="3"/>
        <v>713256</v>
      </c>
      <c r="Y17" s="638">
        <f t="shared" si="3"/>
        <v>290831</v>
      </c>
      <c r="Z17" s="639">
        <f t="shared" si="4"/>
        <v>342203</v>
      </c>
      <c r="AA17" s="637">
        <f t="shared" si="4"/>
        <v>773191</v>
      </c>
      <c r="AB17" s="638">
        <f t="shared" si="4"/>
        <v>335431</v>
      </c>
      <c r="AC17" s="639">
        <f t="shared" si="4"/>
        <v>383603</v>
      </c>
      <c r="AD17" s="637">
        <f t="shared" si="4"/>
        <v>861245</v>
      </c>
      <c r="AE17" s="638">
        <f t="shared" si="4"/>
        <v>390881</v>
      </c>
      <c r="AF17" s="639">
        <f t="shared" si="4"/>
        <v>447342</v>
      </c>
      <c r="AG17" s="637">
        <f t="shared" si="4"/>
        <v>946245</v>
      </c>
      <c r="AH17" s="638">
        <f t="shared" si="4"/>
        <v>427481</v>
      </c>
      <c r="AI17" s="639">
        <f t="shared" si="4"/>
        <v>488142</v>
      </c>
      <c r="AJ17" s="637">
        <f t="shared" si="5"/>
        <v>982445</v>
      </c>
      <c r="AK17" s="638">
        <f t="shared" si="5"/>
        <v>431831</v>
      </c>
      <c r="AL17" s="639">
        <f t="shared" si="5"/>
        <v>510042</v>
      </c>
      <c r="AM17" s="808"/>
    </row>
    <row r="20" spans="1:39" ht="15.75" customHeight="1">
      <c r="A20" s="994" t="s">
        <v>2031</v>
      </c>
      <c r="B20" s="995"/>
      <c r="C20" s="995"/>
      <c r="D20" s="995"/>
      <c r="E20" s="995"/>
      <c r="F20" s="995"/>
      <c r="G20" s="995"/>
      <c r="H20" s="995"/>
      <c r="I20" s="995"/>
      <c r="J20" s="995"/>
      <c r="K20" s="995"/>
      <c r="L20" s="995"/>
      <c r="M20" s="995"/>
      <c r="N20" s="995"/>
      <c r="O20" s="995"/>
      <c r="P20" s="995"/>
      <c r="Q20" s="995"/>
      <c r="R20" s="995"/>
      <c r="S20" s="995"/>
      <c r="T20" s="995"/>
      <c r="U20" s="995"/>
      <c r="V20" s="995"/>
      <c r="W20" s="995"/>
      <c r="X20" s="995"/>
      <c r="Y20" s="995"/>
      <c r="Z20" s="995"/>
      <c r="AA20" s="995"/>
      <c r="AB20" s="995"/>
      <c r="AC20" s="995"/>
      <c r="AD20" s="995"/>
      <c r="AE20" s="995"/>
      <c r="AF20" s="995"/>
      <c r="AG20" s="995"/>
      <c r="AH20" s="995"/>
      <c r="AI20" s="995"/>
      <c r="AJ20" s="995"/>
      <c r="AK20" s="995"/>
      <c r="AL20" s="1006"/>
      <c r="AM20" s="796"/>
    </row>
    <row r="21" spans="1:39" ht="15" customHeight="1">
      <c r="A21" s="996"/>
      <c r="B21" s="997"/>
      <c r="C21" s="997"/>
      <c r="D21" s="997"/>
      <c r="E21" s="997"/>
      <c r="F21" s="997"/>
      <c r="G21" s="997"/>
      <c r="H21" s="997"/>
      <c r="I21" s="997"/>
      <c r="J21" s="997"/>
      <c r="K21" s="997"/>
      <c r="L21" s="997"/>
      <c r="M21" s="997"/>
      <c r="N21" s="997"/>
      <c r="O21" s="997"/>
      <c r="P21" s="997"/>
      <c r="Q21" s="997"/>
      <c r="R21" s="997"/>
      <c r="S21" s="997"/>
      <c r="T21" s="997"/>
      <c r="U21" s="997"/>
      <c r="V21" s="997"/>
      <c r="W21" s="997"/>
      <c r="X21" s="997"/>
      <c r="Y21" s="997"/>
      <c r="Z21" s="997"/>
      <c r="AA21" s="997"/>
      <c r="AB21" s="997"/>
      <c r="AC21" s="997"/>
      <c r="AD21" s="997"/>
      <c r="AE21" s="997"/>
      <c r="AF21" s="997"/>
      <c r="AG21" s="997"/>
      <c r="AH21" s="997"/>
      <c r="AI21" s="997"/>
      <c r="AJ21" s="997"/>
      <c r="AK21" s="997"/>
      <c r="AL21" s="1023"/>
      <c r="AM21" s="796"/>
    </row>
    <row r="22" spans="1:39" ht="19.5" customHeight="1">
      <c r="A22" s="648"/>
      <c r="B22" s="640"/>
      <c r="C22" s="1016" t="s">
        <v>29</v>
      </c>
      <c r="D22" s="1017"/>
      <c r="E22" s="1018"/>
      <c r="F22" s="1016" t="s">
        <v>30</v>
      </c>
      <c r="G22" s="1017"/>
      <c r="H22" s="1018"/>
      <c r="I22" s="1016" t="s">
        <v>31</v>
      </c>
      <c r="J22" s="1017"/>
      <c r="K22" s="1018"/>
      <c r="L22" s="1016" t="s">
        <v>32</v>
      </c>
      <c r="M22" s="1017"/>
      <c r="N22" s="1018"/>
      <c r="O22" s="1016" t="s">
        <v>33</v>
      </c>
      <c r="P22" s="1017"/>
      <c r="Q22" s="1018"/>
      <c r="R22" s="1016" t="s">
        <v>34</v>
      </c>
      <c r="S22" s="1017"/>
      <c r="T22" s="1018"/>
      <c r="U22" s="1016" t="s">
        <v>35</v>
      </c>
      <c r="V22" s="1017"/>
      <c r="W22" s="1018"/>
      <c r="X22" s="1016" t="s">
        <v>65</v>
      </c>
      <c r="Y22" s="1017"/>
      <c r="Z22" s="1018"/>
      <c r="AA22" s="1016" t="s">
        <v>37</v>
      </c>
      <c r="AB22" s="1017"/>
      <c r="AC22" s="1018"/>
      <c r="AD22" s="1016" t="s">
        <v>38</v>
      </c>
      <c r="AE22" s="1017"/>
      <c r="AF22" s="1018"/>
      <c r="AG22" s="1016" t="s">
        <v>39</v>
      </c>
      <c r="AH22" s="1017"/>
      <c r="AI22" s="1018"/>
      <c r="AJ22" s="1016" t="s">
        <v>40</v>
      </c>
      <c r="AK22" s="1017"/>
      <c r="AL22" s="1018"/>
      <c r="AM22" s="809"/>
    </row>
    <row r="23" spans="1:39">
      <c r="A23" s="652"/>
      <c r="B23" s="641"/>
      <c r="C23" s="597" t="s">
        <v>43</v>
      </c>
      <c r="D23" s="598" t="s">
        <v>44</v>
      </c>
      <c r="E23" s="599" t="s">
        <v>45</v>
      </c>
      <c r="F23" s="597" t="s">
        <v>43</v>
      </c>
      <c r="G23" s="598" t="s">
        <v>44</v>
      </c>
      <c r="H23" s="599" t="s">
        <v>45</v>
      </c>
      <c r="I23" s="597" t="s">
        <v>43</v>
      </c>
      <c r="J23" s="598" t="s">
        <v>44</v>
      </c>
      <c r="K23" s="599" t="s">
        <v>45</v>
      </c>
      <c r="L23" s="597" t="s">
        <v>43</v>
      </c>
      <c r="M23" s="598" t="s">
        <v>44</v>
      </c>
      <c r="N23" s="599" t="s">
        <v>45</v>
      </c>
      <c r="O23" s="597" t="s">
        <v>43</v>
      </c>
      <c r="P23" s="598" t="s">
        <v>44</v>
      </c>
      <c r="Q23" s="599" t="s">
        <v>45</v>
      </c>
      <c r="R23" s="597" t="s">
        <v>43</v>
      </c>
      <c r="S23" s="598" t="s">
        <v>44</v>
      </c>
      <c r="T23" s="599" t="s">
        <v>45</v>
      </c>
      <c r="U23" s="597" t="s">
        <v>43</v>
      </c>
      <c r="V23" s="598" t="s">
        <v>44</v>
      </c>
      <c r="W23" s="599" t="s">
        <v>45</v>
      </c>
      <c r="X23" s="597" t="s">
        <v>43</v>
      </c>
      <c r="Y23" s="598" t="s">
        <v>44</v>
      </c>
      <c r="Z23" s="599" t="s">
        <v>45</v>
      </c>
      <c r="AA23" s="597" t="s">
        <v>43</v>
      </c>
      <c r="AB23" s="598" t="s">
        <v>44</v>
      </c>
      <c r="AC23" s="599" t="s">
        <v>45</v>
      </c>
      <c r="AD23" s="597" t="s">
        <v>43</v>
      </c>
      <c r="AE23" s="598" t="s">
        <v>44</v>
      </c>
      <c r="AF23" s="599" t="s">
        <v>45</v>
      </c>
      <c r="AG23" s="597" t="s">
        <v>43</v>
      </c>
      <c r="AH23" s="598" t="s">
        <v>44</v>
      </c>
      <c r="AI23" s="599" t="s">
        <v>45</v>
      </c>
      <c r="AJ23" s="597" t="s">
        <v>43</v>
      </c>
      <c r="AK23" s="598" t="s">
        <v>44</v>
      </c>
      <c r="AL23" s="599" t="s">
        <v>45</v>
      </c>
      <c r="AM23" s="798"/>
    </row>
    <row r="24" spans="1:39">
      <c r="A24" s="658"/>
      <c r="B24" s="659" t="s">
        <v>98</v>
      </c>
      <c r="C24" s="619">
        <f t="shared" ref="C24:AL24" si="6">C6</f>
        <v>48638</v>
      </c>
      <c r="D24" s="620">
        <f t="shared" si="6"/>
        <v>40637</v>
      </c>
      <c r="E24" s="621">
        <f t="shared" si="6"/>
        <v>60506</v>
      </c>
      <c r="F24" s="619">
        <f t="shared" si="6"/>
        <v>67090</v>
      </c>
      <c r="G24" s="620">
        <f t="shared" si="6"/>
        <v>55088</v>
      </c>
      <c r="H24" s="621">
        <f t="shared" si="6"/>
        <v>57161</v>
      </c>
      <c r="I24" s="619">
        <f t="shared" si="6"/>
        <v>70606</v>
      </c>
      <c r="J24" s="620">
        <f t="shared" si="6"/>
        <v>32391</v>
      </c>
      <c r="K24" s="621">
        <f t="shared" si="6"/>
        <v>47791</v>
      </c>
      <c r="L24" s="619">
        <f t="shared" si="6"/>
        <v>0</v>
      </c>
      <c r="M24" s="620">
        <f t="shared" si="6"/>
        <v>0</v>
      </c>
      <c r="N24" s="621">
        <f t="shared" si="6"/>
        <v>0</v>
      </c>
      <c r="O24" s="619">
        <f t="shared" si="6"/>
        <v>0</v>
      </c>
      <c r="P24" s="620">
        <f t="shared" si="6"/>
        <v>0</v>
      </c>
      <c r="Q24" s="621">
        <f t="shared" si="6"/>
        <v>0</v>
      </c>
      <c r="R24" s="619">
        <f t="shared" si="6"/>
        <v>0</v>
      </c>
      <c r="S24" s="620">
        <f t="shared" si="6"/>
        <v>0</v>
      </c>
      <c r="T24" s="621">
        <f t="shared" si="6"/>
        <v>0</v>
      </c>
      <c r="U24" s="619">
        <f t="shared" si="6"/>
        <v>0</v>
      </c>
      <c r="V24" s="620">
        <f t="shared" si="6"/>
        <v>0</v>
      </c>
      <c r="W24" s="621">
        <f t="shared" si="6"/>
        <v>0</v>
      </c>
      <c r="X24" s="619">
        <f t="shared" si="6"/>
        <v>0</v>
      </c>
      <c r="Y24" s="620">
        <f t="shared" si="6"/>
        <v>0</v>
      </c>
      <c r="Z24" s="621">
        <f t="shared" si="6"/>
        <v>0</v>
      </c>
      <c r="AA24" s="619">
        <f t="shared" si="6"/>
        <v>0</v>
      </c>
      <c r="AB24" s="620">
        <f t="shared" si="6"/>
        <v>0</v>
      </c>
      <c r="AC24" s="621">
        <f t="shared" si="6"/>
        <v>0</v>
      </c>
      <c r="AD24" s="619">
        <f t="shared" si="6"/>
        <v>0</v>
      </c>
      <c r="AE24" s="620">
        <f t="shared" si="6"/>
        <v>0</v>
      </c>
      <c r="AF24" s="621">
        <f t="shared" si="6"/>
        <v>0</v>
      </c>
      <c r="AG24" s="619">
        <f t="shared" si="6"/>
        <v>0</v>
      </c>
      <c r="AH24" s="620">
        <f t="shared" si="6"/>
        <v>0</v>
      </c>
      <c r="AI24" s="621">
        <f t="shared" si="6"/>
        <v>0</v>
      </c>
      <c r="AJ24" s="619">
        <f t="shared" si="6"/>
        <v>0</v>
      </c>
      <c r="AK24" s="620">
        <f t="shared" si="6"/>
        <v>0</v>
      </c>
      <c r="AL24" s="621">
        <f t="shared" si="6"/>
        <v>0</v>
      </c>
      <c r="AM24" s="799"/>
    </row>
    <row r="25" spans="1:39">
      <c r="A25" s="660"/>
      <c r="B25" s="661" t="s">
        <v>96</v>
      </c>
      <c r="C25" s="649">
        <f t="shared" ref="C25:AL25" si="7">C7</f>
        <v>16170</v>
      </c>
      <c r="D25" s="650">
        <f t="shared" si="7"/>
        <v>722</v>
      </c>
      <c r="E25" s="651">
        <f t="shared" si="7"/>
        <v>11388</v>
      </c>
      <c r="F25" s="649">
        <f t="shared" si="7"/>
        <v>21115</v>
      </c>
      <c r="G25" s="650">
        <f t="shared" si="7"/>
        <v>16599</v>
      </c>
      <c r="H25" s="651">
        <f t="shared" si="7"/>
        <v>8985</v>
      </c>
      <c r="I25" s="649">
        <f t="shared" si="7"/>
        <v>6791</v>
      </c>
      <c r="J25" s="650">
        <f t="shared" si="7"/>
        <v>5476</v>
      </c>
      <c r="K25" s="651">
        <f t="shared" si="7"/>
        <v>3335</v>
      </c>
      <c r="L25" s="649">
        <f t="shared" si="7"/>
        <v>0</v>
      </c>
      <c r="M25" s="650">
        <f t="shared" si="7"/>
        <v>0</v>
      </c>
      <c r="N25" s="651">
        <f t="shared" si="7"/>
        <v>0</v>
      </c>
      <c r="O25" s="649">
        <f t="shared" si="7"/>
        <v>0</v>
      </c>
      <c r="P25" s="650">
        <f t="shared" si="7"/>
        <v>0</v>
      </c>
      <c r="Q25" s="651">
        <f t="shared" si="7"/>
        <v>0</v>
      </c>
      <c r="R25" s="649">
        <f t="shared" si="7"/>
        <v>0</v>
      </c>
      <c r="S25" s="650">
        <f t="shared" si="7"/>
        <v>0</v>
      </c>
      <c r="T25" s="651">
        <f t="shared" si="7"/>
        <v>0</v>
      </c>
      <c r="U25" s="649">
        <f t="shared" si="7"/>
        <v>0</v>
      </c>
      <c r="V25" s="650">
        <f t="shared" si="7"/>
        <v>0</v>
      </c>
      <c r="W25" s="651">
        <f t="shared" si="7"/>
        <v>0</v>
      </c>
      <c r="X25" s="649">
        <f t="shared" si="7"/>
        <v>0</v>
      </c>
      <c r="Y25" s="650">
        <f t="shared" si="7"/>
        <v>0</v>
      </c>
      <c r="Z25" s="651">
        <f t="shared" si="7"/>
        <v>0</v>
      </c>
      <c r="AA25" s="649">
        <f t="shared" si="7"/>
        <v>0</v>
      </c>
      <c r="AB25" s="650">
        <f t="shared" si="7"/>
        <v>0</v>
      </c>
      <c r="AC25" s="651">
        <f t="shared" si="7"/>
        <v>0</v>
      </c>
      <c r="AD25" s="649">
        <f t="shared" si="7"/>
        <v>0</v>
      </c>
      <c r="AE25" s="650">
        <f t="shared" si="7"/>
        <v>0</v>
      </c>
      <c r="AF25" s="651">
        <f t="shared" si="7"/>
        <v>0</v>
      </c>
      <c r="AG25" s="649">
        <f t="shared" si="7"/>
        <v>0</v>
      </c>
      <c r="AH25" s="650">
        <f t="shared" si="7"/>
        <v>0</v>
      </c>
      <c r="AI25" s="651">
        <f t="shared" si="7"/>
        <v>0</v>
      </c>
      <c r="AJ25" s="649">
        <f t="shared" si="7"/>
        <v>0</v>
      </c>
      <c r="AK25" s="650">
        <f t="shared" si="7"/>
        <v>0</v>
      </c>
      <c r="AL25" s="651">
        <f t="shared" si="7"/>
        <v>0</v>
      </c>
      <c r="AM25" s="800"/>
    </row>
    <row r="27" spans="1:39">
      <c r="B27" s="1009" t="s">
        <v>2072</v>
      </c>
      <c r="C27" s="1010"/>
      <c r="D27" s="1010"/>
      <c r="E27" s="1011"/>
      <c r="G27" s="1009" t="s">
        <v>2071</v>
      </c>
      <c r="H27" s="1010"/>
      <c r="I27" s="1010"/>
      <c r="J27" s="1011"/>
      <c r="L27" s="1009" t="s">
        <v>2069</v>
      </c>
      <c r="M27" s="1010"/>
      <c r="N27" s="1010"/>
      <c r="O27" s="1011"/>
    </row>
    <row r="28" spans="1:39" ht="15" customHeight="1">
      <c r="B28" s="1012"/>
      <c r="C28" s="1013"/>
      <c r="D28" s="1013"/>
      <c r="E28" s="1014"/>
      <c r="G28" s="1012"/>
      <c r="H28" s="1013"/>
      <c r="I28" s="1013"/>
      <c r="J28" s="1014"/>
      <c r="L28" s="1012"/>
      <c r="M28" s="1013"/>
      <c r="N28" s="1013"/>
      <c r="O28" s="1014"/>
    </row>
    <row r="29" spans="1:39">
      <c r="B29" s="813"/>
      <c r="C29" s="817" t="s">
        <v>43</v>
      </c>
      <c r="D29" s="818" t="s">
        <v>44</v>
      </c>
      <c r="E29" s="819" t="s">
        <v>45</v>
      </c>
      <c r="G29" s="813"/>
      <c r="H29" s="828" t="s">
        <v>43</v>
      </c>
      <c r="I29" s="829" t="s">
        <v>44</v>
      </c>
      <c r="J29" s="830" t="s">
        <v>45</v>
      </c>
      <c r="L29" s="813"/>
      <c r="M29" s="817" t="s">
        <v>43</v>
      </c>
      <c r="N29" s="818" t="s">
        <v>44</v>
      </c>
      <c r="O29" s="819" t="s">
        <v>45</v>
      </c>
    </row>
    <row r="30" spans="1:39">
      <c r="B30" s="600" t="s">
        <v>66</v>
      </c>
      <c r="C30" s="831">
        <f t="array" aca="1" ref="C30" ca="1">SUMPRODUCT((MOD(COLUMN(C6:INDIRECT(ADDRESS(6,MAX(IF(C6:AL6&gt;0,COLUMN(C6:AL6)-3 )),4)))-2,3)=1)*(C6:INDIRECT(ADDRESS(6,MAX(IF(C6:AL6&gt;0,COLUMN(C6:AL6)-3 )),4))))/SUMPRODUCT((MOD(COLUMN(C6:INDIRECT(ADDRESS(6,MAX(IF(C6:AL6&gt;0,COLUMN(C6:AL6)-3 )),4)))-2,3)=1)*(C6:INDIRECT(ADDRESS(6,MAX(IF(C6:AL6&gt;0,COLUMN(C6:AL6)-3 )),4))&gt;0))</f>
        <v>57864</v>
      </c>
      <c r="D30" s="832">
        <f t="array" aca="1" ref="D30" ca="1">SUMPRODUCT((MOD(COLUMN(D6:INDIRECT(ADDRESS(6,MAX(IF(C6:AL6&gt;0,COLUMN(C6:AL6)-3 )),4)))-1,3)=0)*(D6:INDIRECT(ADDRESS(6,MAX(IF(C6:AL6&gt;0,COLUMN(C6:AL6)-3 )),4))))/SUMPRODUCT((MOD(COLUMN(D6:INDIRECT(ADDRESS(6,MAX(IF(C6:AL6&gt;0,COLUMN(C6:AL6)-3 )),4)))-1,3)=0)*(D6:INDIRECT(ADDRESS(6,MAX(IF(C6:AL6&gt;0,COLUMN(C6:AL6)-3 )),4))&gt;0))</f>
        <v>47862.5</v>
      </c>
      <c r="E30" s="832">
        <f t="array" aca="1" ref="E30" ca="1">SUMPRODUCT((MOD(COLUMN(E6:INDIRECT(ADDRESS(6,MAX(IF(C6:AL6&gt;0,COLUMN(C6:AL6)-3 )),4)))-1,3)=1)*(E6:INDIRECT(ADDRESS(6,MAX(IF(C6:AL6&gt;0,COLUMN(C6:AL6)-3 )),4))))/SUMPRODUCT((MOD(COLUMN(E6:INDIRECT(ADDRESS(6,MAX(IF(C6:AL6&gt;0,COLUMN(C6:AL6)-3 )),4)))-1,3)=1)*(E6:INDIRECT(ADDRESS(6,MAX(IF(C6:AL6&gt;0,COLUMN(C6:AL6)-3 )),4))&gt;0))</f>
        <v>58833.5</v>
      </c>
      <c r="G30" s="600" t="s">
        <v>66</v>
      </c>
      <c r="H30" s="833">
        <f t="array" ref="H30">INDEX('Vol. par Bassin'!6:6,MAX((COLUMN(1:1)-5)*('Vol. par Bassin'!6:6&lt;&gt;0)))</f>
        <v>67090</v>
      </c>
      <c r="I30" s="832">
        <f t="array" ref="I30">INDEX('Vol. par Bassin'!6:6,MAX((COLUMN(1:1)-4)*('Vol. par Bassin'!6:6&lt;&gt;0)))</f>
        <v>55088</v>
      </c>
      <c r="J30" s="832">
        <f t="array" ref="J30">INDEX('Vol. par Bassin'!6:6,MAX((COLUMN(1:1)-3)*('Vol. par Bassin'!6:6&lt;&gt;0)))</f>
        <v>57161</v>
      </c>
      <c r="L30" s="600" t="s">
        <v>66</v>
      </c>
      <c r="M30" s="831">
        <f t="array" ref="M30">INDEX(6:6,MAX((COLUMN(1:1)-2)*(6:6&lt;&gt;0)))</f>
        <v>70606</v>
      </c>
      <c r="N30" s="832">
        <f t="array" ref="N30">INDEX(6:6,MAX((COLUMN(1:1)-1)*(6:6&lt;&gt;0)))</f>
        <v>32391</v>
      </c>
      <c r="O30" s="832">
        <f t="array" ref="O30">INDEX(6:6,MAX((COLUMN(1:1))*(6:6&lt;&gt;0)))</f>
        <v>47791</v>
      </c>
    </row>
    <row r="31" spans="1:39">
      <c r="B31" s="601" t="s">
        <v>405</v>
      </c>
      <c r="C31" s="832">
        <f t="array" aca="1" ref="C31" ca="1">SUMPRODUCT((MOD(COLUMN(C7:INDIRECT(ADDRESS(7,MAX(IF(C7:AL7&gt;0,COLUMN(C7:AL7)-3 )),4)))-2,3)=1)*(C7:INDIRECT(ADDRESS(7,MAX(IF(C7:AL7&gt;0,COLUMN(C7:AL7)-3 )),4))))/SUMPRODUCT((MOD(COLUMN(C7:INDIRECT(ADDRESS(7,MAX(IF(C7:AL7&gt;0,COLUMN(C7:AL7)-3 )),4)))-2,3)=1)*(C7:INDIRECT(ADDRESS(7,MAX(IF(C7:AL7&gt;0,COLUMN(C7:AL7)-3 )),4))&gt;0))</f>
        <v>18642.5</v>
      </c>
      <c r="D31" s="832">
        <f t="array" aca="1" ref="D31" ca="1">SUMPRODUCT((MOD(COLUMN(D7:INDIRECT(ADDRESS(7,MAX(IF(C7:AL7&gt;0,COLUMN(C7:AL7)-3 )),4)))-1,3)=0)*(D7:INDIRECT(ADDRESS(7,MAX(IF(C7:AL7&gt;0,COLUMN(C7:AL7)-3 )),4))))/SUMPRODUCT((MOD(COLUMN(D7:INDIRECT(ADDRESS(7,MAX(IF(C7:AL7&gt;0,COLUMN(C7:AL7)-3 )),4)))-1,3)=0)*(D7:INDIRECT(ADDRESS(7,MAX(IF(C7:AL7&gt;0,COLUMN(C7:AL7)-3 )),4))&gt;0))</f>
        <v>8660.5</v>
      </c>
      <c r="E31" s="832">
        <f t="array" aca="1" ref="E31" ca="1">SUMPRODUCT((MOD(COLUMN(E7:INDIRECT(ADDRESS(7,MAX(IF(C7:AL7&gt;0,COLUMN(C7:AL7)-3 )),4)))-1,3)=1)*(E7:INDIRECT(ADDRESS(7,MAX(IF(C7:AL7&gt;0,COLUMN(C7:AL7)-3 )),4))))/SUMPRODUCT((MOD(COLUMN(E7:INDIRECT(ADDRESS(7,MAX(IF(C7:AL7&gt;0,COLUMN(C7:AL7)-3 )),4)))-1,3)=1)*(E7:INDIRECT(ADDRESS(7,MAX(IF(C7:AL7&gt;0,COLUMN(C7:AL7)-3 )),4))&gt;0))</f>
        <v>10186.5</v>
      </c>
      <c r="G31" s="601" t="s">
        <v>405</v>
      </c>
      <c r="H31" s="833">
        <f t="array" ref="H31">INDEX('Vol. par Bassin'!7:7,MAX((COLUMN(1:1)-5)*('Vol. par Bassin'!7:7&lt;&gt;0)))</f>
        <v>21115</v>
      </c>
      <c r="I31" s="832">
        <f t="array" ref="I31">INDEX('Vol. par Bassin'!7:7,MAX((COLUMN(2:2)-4)*('Vol. par Bassin'!7:7&lt;&gt;0)))</f>
        <v>16599</v>
      </c>
      <c r="J31" s="832">
        <f t="array" ref="J31">INDEX('Vol. par Bassin'!7:7,MAX((COLUMN(2:2)-3)*('Vol. par Bassin'!7:7&lt;&gt;0)))</f>
        <v>8985</v>
      </c>
      <c r="L31" s="601" t="s">
        <v>405</v>
      </c>
      <c r="M31" s="832">
        <f t="array" ref="M31">INDEX(7:7,MAX((COLUMN(2:2)-2)*(7:7&lt;&gt;0)))</f>
        <v>6791</v>
      </c>
      <c r="N31" s="832">
        <f t="array" ref="N31">INDEX(7:7,MAX((COLUMN(2:2)-1)*(7:7&lt;&gt;0)))</f>
        <v>5476</v>
      </c>
      <c r="O31" s="832">
        <f t="array" ref="O31">INDEX(7:7,MAX((COLUMN(2:2))*(7:7&lt;&gt;0)))</f>
        <v>3335</v>
      </c>
    </row>
  </sheetData>
  <mergeCells count="21">
    <mergeCell ref="A6:A10"/>
    <mergeCell ref="A13:A17"/>
    <mergeCell ref="A2:AL3"/>
    <mergeCell ref="A4:A5"/>
    <mergeCell ref="A20:AL21"/>
    <mergeCell ref="B27:E28"/>
    <mergeCell ref="G27:J28"/>
    <mergeCell ref="L27:O28"/>
    <mergeCell ref="AO4:AQ4"/>
    <mergeCell ref="C22:E22"/>
    <mergeCell ref="F22:H22"/>
    <mergeCell ref="I22:K22"/>
    <mergeCell ref="L22:N22"/>
    <mergeCell ref="O22:Q22"/>
    <mergeCell ref="AG22:AI22"/>
    <mergeCell ref="AJ22:AL22"/>
    <mergeCell ref="R22:T22"/>
    <mergeCell ref="U22:W22"/>
    <mergeCell ref="X22:Z22"/>
    <mergeCell ref="AA22:AC22"/>
    <mergeCell ref="AD22:AF22"/>
  </mergeCells>
  <pageMargins left="0.25" right="0.25" top="0.75" bottom="0.75" header="0.3" footer="0.3"/>
  <pageSetup paperSize="8" orientation="landscape" r:id="rId1"/>
  <ignoredErrors>
    <ignoredError sqref="D8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rgb="FFCCFF99"/>
  </sheetPr>
  <dimension ref="A1:W3"/>
  <sheetViews>
    <sheetView zoomScale="85" zoomScaleNormal="85" workbookViewId="0">
      <selection activeCell="O36" sqref="O36"/>
    </sheetView>
  </sheetViews>
  <sheetFormatPr baseColWidth="10" defaultRowHeight="15"/>
  <sheetData>
    <row r="1" spans="1:23">
      <c r="A1" s="1024" t="s">
        <v>2032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5"/>
      <c r="L1" s="1025"/>
      <c r="M1" s="1025"/>
      <c r="N1" s="1025"/>
      <c r="O1" s="1025"/>
      <c r="P1" s="1025"/>
      <c r="Q1" s="1025"/>
      <c r="R1" s="1025"/>
      <c r="S1" s="1025"/>
      <c r="T1" s="1025"/>
      <c r="U1" s="1025"/>
      <c r="V1" s="1025"/>
      <c r="W1" s="1025"/>
    </row>
    <row r="2" spans="1:23">
      <c r="A2" s="1025"/>
      <c r="B2" s="1025"/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25"/>
      <c r="O2" s="1025"/>
      <c r="P2" s="1025"/>
      <c r="Q2" s="1025"/>
      <c r="R2" s="1025"/>
      <c r="S2" s="1025"/>
      <c r="T2" s="1025"/>
      <c r="U2" s="1025"/>
      <c r="V2" s="1025"/>
      <c r="W2" s="1025"/>
    </row>
    <row r="3" spans="1:23">
      <c r="A3" s="1025"/>
      <c r="B3" s="1025"/>
      <c r="C3" s="1025"/>
      <c r="D3" s="1025"/>
      <c r="E3" s="1025"/>
      <c r="F3" s="1025"/>
      <c r="G3" s="1025"/>
      <c r="H3" s="1025"/>
      <c r="I3" s="1025"/>
      <c r="J3" s="1025"/>
      <c r="K3" s="1025"/>
      <c r="L3" s="1025"/>
      <c r="M3" s="1025"/>
      <c r="N3" s="1025"/>
      <c r="O3" s="1025"/>
      <c r="P3" s="1025"/>
      <c r="Q3" s="1025"/>
      <c r="R3" s="1025"/>
      <c r="S3" s="1025"/>
      <c r="T3" s="1025"/>
      <c r="U3" s="1025"/>
      <c r="V3" s="1025"/>
      <c r="W3" s="1025"/>
    </row>
  </sheetData>
  <mergeCells count="1">
    <mergeCell ref="A1:W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rgb="FFCCFF99"/>
  </sheetPr>
  <dimension ref="A1:W3"/>
  <sheetViews>
    <sheetView zoomScale="85" zoomScaleNormal="85" workbookViewId="0">
      <selection activeCell="P84" sqref="P84"/>
    </sheetView>
  </sheetViews>
  <sheetFormatPr baseColWidth="10" defaultRowHeight="15"/>
  <sheetData>
    <row r="1" spans="1:23">
      <c r="A1" s="1024" t="s">
        <v>2034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5"/>
      <c r="L1" s="1025"/>
      <c r="M1" s="1025"/>
      <c r="N1" s="1025"/>
      <c r="O1" s="1025"/>
      <c r="P1" s="1025"/>
      <c r="Q1" s="1025"/>
      <c r="R1" s="1025"/>
      <c r="S1" s="1025"/>
      <c r="T1" s="1025"/>
      <c r="U1" s="1025"/>
      <c r="V1" s="1025"/>
      <c r="W1" s="1025"/>
    </row>
    <row r="2" spans="1:23">
      <c r="A2" s="1025"/>
      <c r="B2" s="1025"/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25"/>
      <c r="O2" s="1025"/>
      <c r="P2" s="1025"/>
      <c r="Q2" s="1025"/>
      <c r="R2" s="1025"/>
      <c r="S2" s="1025"/>
      <c r="T2" s="1025"/>
      <c r="U2" s="1025"/>
      <c r="V2" s="1025"/>
      <c r="W2" s="1025"/>
    </row>
    <row r="3" spans="1:23">
      <c r="A3" s="1025"/>
      <c r="B3" s="1025"/>
      <c r="C3" s="1025"/>
      <c r="D3" s="1025"/>
      <c r="E3" s="1025"/>
      <c r="F3" s="1025"/>
      <c r="G3" s="1025"/>
      <c r="H3" s="1025"/>
      <c r="I3" s="1025"/>
      <c r="J3" s="1025"/>
      <c r="K3" s="1025"/>
      <c r="L3" s="1025"/>
      <c r="M3" s="1025"/>
      <c r="N3" s="1025"/>
      <c r="O3" s="1025"/>
      <c r="P3" s="1025"/>
      <c r="Q3" s="1025"/>
      <c r="R3" s="1025"/>
      <c r="S3" s="1025"/>
      <c r="T3" s="1025"/>
      <c r="U3" s="1025"/>
      <c r="V3" s="1025"/>
      <c r="W3" s="1025"/>
    </row>
  </sheetData>
  <mergeCells count="1">
    <mergeCell ref="A1:W3"/>
  </mergeCells>
  <pageMargins left="0.7" right="0.7" top="0.75" bottom="0.75" header="0.3" footer="0.3"/>
  <pageSetup paperSize="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tabColor rgb="FFCCFF99"/>
  </sheetPr>
  <dimension ref="A1:W3"/>
  <sheetViews>
    <sheetView zoomScale="85" zoomScaleNormal="85" workbookViewId="0">
      <selection activeCell="N101" sqref="N101"/>
    </sheetView>
  </sheetViews>
  <sheetFormatPr baseColWidth="10" defaultRowHeight="15"/>
  <sheetData>
    <row r="1" spans="1:23">
      <c r="A1" s="1024" t="s">
        <v>2033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5"/>
      <c r="L1" s="1025"/>
      <c r="M1" s="1025"/>
      <c r="N1" s="1025"/>
      <c r="O1" s="1025"/>
      <c r="P1" s="1025"/>
      <c r="Q1" s="1025"/>
      <c r="R1" s="1025"/>
      <c r="S1" s="1025"/>
      <c r="T1" s="1025"/>
      <c r="U1" s="1025"/>
      <c r="V1" s="1025"/>
      <c r="W1" s="1025"/>
    </row>
    <row r="2" spans="1:23">
      <c r="A2" s="1025"/>
      <c r="B2" s="1025"/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25"/>
      <c r="O2" s="1025"/>
      <c r="P2" s="1025"/>
      <c r="Q2" s="1025"/>
      <c r="R2" s="1025"/>
      <c r="S2" s="1025"/>
      <c r="T2" s="1025"/>
      <c r="U2" s="1025"/>
      <c r="V2" s="1025"/>
      <c r="W2" s="1025"/>
    </row>
    <row r="3" spans="1:23">
      <c r="A3" s="1025"/>
      <c r="B3" s="1025"/>
      <c r="C3" s="1025"/>
      <c r="D3" s="1025"/>
      <c r="E3" s="1025"/>
      <c r="F3" s="1025"/>
      <c r="G3" s="1025"/>
      <c r="H3" s="1025"/>
      <c r="I3" s="1025"/>
      <c r="J3" s="1025"/>
      <c r="K3" s="1025"/>
      <c r="L3" s="1025"/>
      <c r="M3" s="1025"/>
      <c r="N3" s="1025"/>
      <c r="O3" s="1025"/>
      <c r="P3" s="1025"/>
      <c r="Q3" s="1025"/>
      <c r="R3" s="1025"/>
      <c r="S3" s="1025"/>
      <c r="T3" s="1025"/>
      <c r="U3" s="1025"/>
      <c r="V3" s="1025"/>
      <c r="W3" s="1025"/>
    </row>
  </sheetData>
  <mergeCells count="1">
    <mergeCell ref="A1:W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tabColor theme="8"/>
  </sheetPr>
  <dimension ref="A1:X4"/>
  <sheetViews>
    <sheetView topLeftCell="A13" zoomScale="84" zoomScaleNormal="84" workbookViewId="0">
      <selection activeCell="K74" sqref="K74"/>
    </sheetView>
  </sheetViews>
  <sheetFormatPr baseColWidth="10" defaultRowHeight="15"/>
  <sheetData>
    <row r="1" spans="1:24" ht="15" customHeight="1">
      <c r="A1" s="1026" t="s">
        <v>43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</row>
    <row r="2" spans="1:24">
      <c r="A2" s="1026"/>
      <c r="B2" s="1026"/>
      <c r="C2" s="1026"/>
      <c r="D2" s="1026"/>
      <c r="E2" s="1026"/>
      <c r="F2" s="1026"/>
      <c r="G2" s="1026"/>
      <c r="H2" s="1026"/>
      <c r="I2" s="1026"/>
      <c r="J2" s="1026"/>
      <c r="K2" s="1026"/>
      <c r="L2" s="1026"/>
      <c r="M2" s="1026"/>
      <c r="N2" s="1026"/>
      <c r="O2" s="1026"/>
      <c r="P2" s="1026"/>
      <c r="Q2" s="1026"/>
      <c r="R2" s="1026"/>
      <c r="S2" s="1026"/>
      <c r="T2" s="1026"/>
      <c r="U2" s="1026"/>
      <c r="V2" s="1026"/>
      <c r="W2" s="1026"/>
      <c r="X2" s="1026"/>
    </row>
    <row r="3" spans="1:24">
      <c r="A3" s="1026"/>
      <c r="B3" s="1026"/>
      <c r="C3" s="1026"/>
      <c r="D3" s="1026"/>
      <c r="E3" s="1026"/>
      <c r="F3" s="1026"/>
      <c r="G3" s="1026"/>
      <c r="H3" s="1026"/>
      <c r="I3" s="1026"/>
      <c r="J3" s="1026"/>
      <c r="K3" s="1026"/>
      <c r="L3" s="1026"/>
      <c r="M3" s="1026"/>
      <c r="N3" s="1026"/>
      <c r="O3" s="1026"/>
      <c r="P3" s="1026"/>
      <c r="Q3" s="1026"/>
      <c r="R3" s="1026"/>
      <c r="S3" s="1026"/>
      <c r="T3" s="1026"/>
      <c r="U3" s="1026"/>
      <c r="V3" s="1026"/>
      <c r="W3" s="1026"/>
      <c r="X3" s="1026"/>
    </row>
    <row r="4" spans="1:24">
      <c r="A4" s="1026"/>
      <c r="B4" s="1026"/>
      <c r="C4" s="1026"/>
      <c r="D4" s="1026"/>
      <c r="E4" s="1026"/>
      <c r="F4" s="1026"/>
      <c r="G4" s="1026"/>
      <c r="H4" s="1026"/>
      <c r="I4" s="1026"/>
      <c r="J4" s="1026"/>
      <c r="K4" s="1026"/>
      <c r="L4" s="1026"/>
      <c r="M4" s="1026"/>
      <c r="N4" s="1026"/>
      <c r="O4" s="1026"/>
      <c r="P4" s="1026"/>
      <c r="Q4" s="1026"/>
      <c r="R4" s="1026"/>
      <c r="S4" s="1026"/>
      <c r="T4" s="1026"/>
      <c r="U4" s="1026"/>
      <c r="V4" s="1026"/>
      <c r="W4" s="1026"/>
      <c r="X4" s="1026"/>
    </row>
  </sheetData>
  <mergeCells count="1">
    <mergeCell ref="A1:X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theme="8"/>
  </sheetPr>
  <dimension ref="A1:X4"/>
  <sheetViews>
    <sheetView showZeros="0" zoomScale="85" zoomScaleNormal="85" workbookViewId="0">
      <selection activeCell="V39" sqref="V39"/>
    </sheetView>
  </sheetViews>
  <sheetFormatPr baseColWidth="10" defaultRowHeight="15"/>
  <sheetData>
    <row r="1" spans="1:24">
      <c r="A1" s="1026" t="s">
        <v>43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</row>
    <row r="2" spans="1:24">
      <c r="A2" s="1026"/>
      <c r="B2" s="1026"/>
      <c r="C2" s="1026"/>
      <c r="D2" s="1026"/>
      <c r="E2" s="1026"/>
      <c r="F2" s="1026"/>
      <c r="G2" s="1026"/>
      <c r="H2" s="1026"/>
      <c r="I2" s="1026"/>
      <c r="J2" s="1026"/>
      <c r="K2" s="1026"/>
      <c r="L2" s="1026"/>
      <c r="M2" s="1026"/>
      <c r="N2" s="1026"/>
      <c r="O2" s="1026"/>
      <c r="P2" s="1026"/>
      <c r="Q2" s="1026"/>
      <c r="R2" s="1026"/>
      <c r="S2" s="1026"/>
      <c r="T2" s="1026"/>
      <c r="U2" s="1026"/>
      <c r="V2" s="1026"/>
      <c r="W2" s="1026"/>
      <c r="X2" s="1026"/>
    </row>
    <row r="3" spans="1:24">
      <c r="A3" s="1026"/>
      <c r="B3" s="1026"/>
      <c r="C3" s="1026"/>
      <c r="D3" s="1026"/>
      <c r="E3" s="1026"/>
      <c r="F3" s="1026"/>
      <c r="G3" s="1026"/>
      <c r="H3" s="1026"/>
      <c r="I3" s="1026"/>
      <c r="J3" s="1026"/>
      <c r="K3" s="1026"/>
      <c r="L3" s="1026"/>
      <c r="M3" s="1026"/>
      <c r="N3" s="1026"/>
      <c r="O3" s="1026"/>
      <c r="P3" s="1026"/>
      <c r="Q3" s="1026"/>
      <c r="R3" s="1026"/>
      <c r="S3" s="1026"/>
      <c r="T3" s="1026"/>
      <c r="U3" s="1026"/>
      <c r="V3" s="1026"/>
      <c r="W3" s="1026"/>
      <c r="X3" s="1026"/>
    </row>
    <row r="4" spans="1:24">
      <c r="A4" s="1026"/>
      <c r="B4" s="1026"/>
      <c r="C4" s="1026"/>
      <c r="D4" s="1026"/>
      <c r="E4" s="1026"/>
      <c r="F4" s="1026"/>
      <c r="G4" s="1026"/>
      <c r="H4" s="1026"/>
      <c r="I4" s="1026"/>
      <c r="J4" s="1026"/>
      <c r="K4" s="1026"/>
      <c r="L4" s="1026"/>
      <c r="M4" s="1026"/>
      <c r="N4" s="1026"/>
      <c r="O4" s="1026"/>
      <c r="P4" s="1026"/>
      <c r="Q4" s="1026"/>
      <c r="R4" s="1026"/>
      <c r="S4" s="1026"/>
      <c r="T4" s="1026"/>
      <c r="U4" s="1026"/>
      <c r="V4" s="1026"/>
      <c r="W4" s="1026"/>
      <c r="X4" s="1026"/>
    </row>
  </sheetData>
  <mergeCells count="1">
    <mergeCell ref="A1:X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tabColor theme="8"/>
  </sheetPr>
  <dimension ref="A1:X4"/>
  <sheetViews>
    <sheetView zoomScale="85" zoomScaleNormal="85" workbookViewId="0">
      <selection activeCell="T40" sqref="T40"/>
    </sheetView>
  </sheetViews>
  <sheetFormatPr baseColWidth="10" defaultRowHeight="15"/>
  <sheetData>
    <row r="1" spans="1:24">
      <c r="A1" s="1026" t="s">
        <v>43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</row>
    <row r="2" spans="1:24">
      <c r="A2" s="1026"/>
      <c r="B2" s="1026"/>
      <c r="C2" s="1026"/>
      <c r="D2" s="1026"/>
      <c r="E2" s="1026"/>
      <c r="F2" s="1026"/>
      <c r="G2" s="1026"/>
      <c r="H2" s="1026"/>
      <c r="I2" s="1026"/>
      <c r="J2" s="1026"/>
      <c r="K2" s="1026"/>
      <c r="L2" s="1026"/>
      <c r="M2" s="1026"/>
      <c r="N2" s="1026"/>
      <c r="O2" s="1026"/>
      <c r="P2" s="1026"/>
      <c r="Q2" s="1026"/>
      <c r="R2" s="1026"/>
      <c r="S2" s="1026"/>
      <c r="T2" s="1026"/>
      <c r="U2" s="1026"/>
      <c r="V2" s="1026"/>
      <c r="W2" s="1026"/>
      <c r="X2" s="1026"/>
    </row>
    <row r="3" spans="1:24">
      <c r="A3" s="1026"/>
      <c r="B3" s="1026"/>
      <c r="C3" s="1026"/>
      <c r="D3" s="1026"/>
      <c r="E3" s="1026"/>
      <c r="F3" s="1026"/>
      <c r="G3" s="1026"/>
      <c r="H3" s="1026"/>
      <c r="I3" s="1026"/>
      <c r="J3" s="1026"/>
      <c r="K3" s="1026"/>
      <c r="L3" s="1026"/>
      <c r="M3" s="1026"/>
      <c r="N3" s="1026"/>
      <c r="O3" s="1026"/>
      <c r="P3" s="1026"/>
      <c r="Q3" s="1026"/>
      <c r="R3" s="1026"/>
      <c r="S3" s="1026"/>
      <c r="T3" s="1026"/>
      <c r="U3" s="1026"/>
      <c r="V3" s="1026"/>
      <c r="W3" s="1026"/>
      <c r="X3" s="1026"/>
    </row>
    <row r="4" spans="1:24">
      <c r="A4" s="1026"/>
      <c r="B4" s="1026"/>
      <c r="C4" s="1026"/>
      <c r="D4" s="1026"/>
      <c r="E4" s="1026"/>
      <c r="F4" s="1026"/>
      <c r="G4" s="1026"/>
      <c r="H4" s="1026"/>
      <c r="I4" s="1026"/>
      <c r="J4" s="1026"/>
      <c r="K4" s="1026"/>
      <c r="L4" s="1026"/>
      <c r="M4" s="1026"/>
      <c r="N4" s="1026"/>
      <c r="O4" s="1026"/>
      <c r="P4" s="1026"/>
      <c r="Q4" s="1026"/>
      <c r="R4" s="1026"/>
      <c r="S4" s="1026"/>
      <c r="T4" s="1026"/>
      <c r="U4" s="1026"/>
      <c r="V4" s="1026"/>
      <c r="W4" s="1026"/>
      <c r="X4" s="1026"/>
    </row>
  </sheetData>
  <mergeCells count="1">
    <mergeCell ref="A1:X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tabColor theme="8"/>
  </sheetPr>
  <dimension ref="A1:X4"/>
  <sheetViews>
    <sheetView zoomScale="85" zoomScaleNormal="85" workbookViewId="0">
      <selection activeCell="W39" sqref="W39"/>
    </sheetView>
  </sheetViews>
  <sheetFormatPr baseColWidth="10" defaultRowHeight="15"/>
  <sheetData>
    <row r="1" spans="1:24">
      <c r="A1" s="1026" t="s">
        <v>43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</row>
    <row r="2" spans="1:24">
      <c r="A2" s="1026"/>
      <c r="B2" s="1026"/>
      <c r="C2" s="1026"/>
      <c r="D2" s="1026"/>
      <c r="E2" s="1026"/>
      <c r="F2" s="1026"/>
      <c r="G2" s="1026"/>
      <c r="H2" s="1026"/>
      <c r="I2" s="1026"/>
      <c r="J2" s="1026"/>
      <c r="K2" s="1026"/>
      <c r="L2" s="1026"/>
      <c r="M2" s="1026"/>
      <c r="N2" s="1026"/>
      <c r="O2" s="1026"/>
      <c r="P2" s="1026"/>
      <c r="Q2" s="1026"/>
      <c r="R2" s="1026"/>
      <c r="S2" s="1026"/>
      <c r="T2" s="1026"/>
      <c r="U2" s="1026"/>
      <c r="V2" s="1026"/>
      <c r="W2" s="1026"/>
      <c r="X2" s="1026"/>
    </row>
    <row r="3" spans="1:24">
      <c r="A3" s="1026"/>
      <c r="B3" s="1026"/>
      <c r="C3" s="1026"/>
      <c r="D3" s="1026"/>
      <c r="E3" s="1026"/>
      <c r="F3" s="1026"/>
      <c r="G3" s="1026"/>
      <c r="H3" s="1026"/>
      <c r="I3" s="1026"/>
      <c r="J3" s="1026"/>
      <c r="K3" s="1026"/>
      <c r="L3" s="1026"/>
      <c r="M3" s="1026"/>
      <c r="N3" s="1026"/>
      <c r="O3" s="1026"/>
      <c r="P3" s="1026"/>
      <c r="Q3" s="1026"/>
      <c r="R3" s="1026"/>
      <c r="S3" s="1026"/>
      <c r="T3" s="1026"/>
      <c r="U3" s="1026"/>
      <c r="V3" s="1026"/>
      <c r="W3" s="1026"/>
      <c r="X3" s="1026"/>
    </row>
    <row r="4" spans="1:24">
      <c r="A4" s="1026"/>
      <c r="B4" s="1026"/>
      <c r="C4" s="1026"/>
      <c r="D4" s="1026"/>
      <c r="E4" s="1026"/>
      <c r="F4" s="1026"/>
      <c r="G4" s="1026"/>
      <c r="H4" s="1026"/>
      <c r="I4" s="1026"/>
      <c r="J4" s="1026"/>
      <c r="K4" s="1026"/>
      <c r="L4" s="1026"/>
      <c r="M4" s="1026"/>
      <c r="N4" s="1026"/>
      <c r="O4" s="1026"/>
      <c r="P4" s="1026"/>
      <c r="Q4" s="1026"/>
      <c r="R4" s="1026"/>
      <c r="S4" s="1026"/>
      <c r="T4" s="1026"/>
      <c r="U4" s="1026"/>
      <c r="V4" s="1026"/>
      <c r="W4" s="1026"/>
      <c r="X4" s="1026"/>
    </row>
  </sheetData>
  <mergeCells count="1">
    <mergeCell ref="A1:X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tabColor theme="8"/>
  </sheetPr>
  <dimension ref="A1:X4"/>
  <sheetViews>
    <sheetView zoomScale="85" zoomScaleNormal="85" workbookViewId="0">
      <selection activeCell="U41" sqref="U40:U41"/>
    </sheetView>
  </sheetViews>
  <sheetFormatPr baseColWidth="10" defaultRowHeight="15"/>
  <sheetData>
    <row r="1" spans="1:24">
      <c r="A1" s="1026" t="s">
        <v>43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</row>
    <row r="2" spans="1:24">
      <c r="A2" s="1026"/>
      <c r="B2" s="1026"/>
      <c r="C2" s="1026"/>
      <c r="D2" s="1026"/>
      <c r="E2" s="1026"/>
      <c r="F2" s="1026"/>
      <c r="G2" s="1026"/>
      <c r="H2" s="1026"/>
      <c r="I2" s="1026"/>
      <c r="J2" s="1026"/>
      <c r="K2" s="1026"/>
      <c r="L2" s="1026"/>
      <c r="M2" s="1026"/>
      <c r="N2" s="1026"/>
      <c r="O2" s="1026"/>
      <c r="P2" s="1026"/>
      <c r="Q2" s="1026"/>
      <c r="R2" s="1026"/>
      <c r="S2" s="1026"/>
      <c r="T2" s="1026"/>
      <c r="U2" s="1026"/>
      <c r="V2" s="1026"/>
      <c r="W2" s="1026"/>
      <c r="X2" s="1026"/>
    </row>
    <row r="3" spans="1:24">
      <c r="A3" s="1026"/>
      <c r="B3" s="1026"/>
      <c r="C3" s="1026"/>
      <c r="D3" s="1026"/>
      <c r="E3" s="1026"/>
      <c r="F3" s="1026"/>
      <c r="G3" s="1026"/>
      <c r="H3" s="1026"/>
      <c r="I3" s="1026"/>
      <c r="J3" s="1026"/>
      <c r="K3" s="1026"/>
      <c r="L3" s="1026"/>
      <c r="M3" s="1026"/>
      <c r="N3" s="1026"/>
      <c r="O3" s="1026"/>
      <c r="P3" s="1026"/>
      <c r="Q3" s="1026"/>
      <c r="R3" s="1026"/>
      <c r="S3" s="1026"/>
      <c r="T3" s="1026"/>
      <c r="U3" s="1026"/>
      <c r="V3" s="1026"/>
      <c r="W3" s="1026"/>
      <c r="X3" s="1026"/>
    </row>
    <row r="4" spans="1:24">
      <c r="A4" s="1026"/>
      <c r="B4" s="1026"/>
      <c r="C4" s="1026"/>
      <c r="D4" s="1026"/>
      <c r="E4" s="1026"/>
      <c r="F4" s="1026"/>
      <c r="G4" s="1026"/>
      <c r="H4" s="1026"/>
      <c r="I4" s="1026"/>
      <c r="J4" s="1026"/>
      <c r="K4" s="1026"/>
      <c r="L4" s="1026"/>
      <c r="M4" s="1026"/>
      <c r="N4" s="1026"/>
      <c r="O4" s="1026"/>
      <c r="P4" s="1026"/>
      <c r="Q4" s="1026"/>
      <c r="R4" s="1026"/>
      <c r="S4" s="1026"/>
      <c r="T4" s="1026"/>
      <c r="U4" s="1026"/>
      <c r="V4" s="1026"/>
      <c r="W4" s="1026"/>
      <c r="X4" s="1026"/>
    </row>
  </sheetData>
  <mergeCells count="1">
    <mergeCell ref="A1:X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tabColor theme="8"/>
  </sheetPr>
  <dimension ref="A1:X4"/>
  <sheetViews>
    <sheetView zoomScale="85" zoomScaleNormal="85" workbookViewId="0">
      <selection activeCell="V39" sqref="V39"/>
    </sheetView>
  </sheetViews>
  <sheetFormatPr baseColWidth="10" defaultRowHeight="15"/>
  <sheetData>
    <row r="1" spans="1:24">
      <c r="A1" s="1026" t="s">
        <v>43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</row>
    <row r="2" spans="1:24">
      <c r="A2" s="1026"/>
      <c r="B2" s="1026"/>
      <c r="C2" s="1026"/>
      <c r="D2" s="1026"/>
      <c r="E2" s="1026"/>
      <c r="F2" s="1026"/>
      <c r="G2" s="1026"/>
      <c r="H2" s="1026"/>
      <c r="I2" s="1026"/>
      <c r="J2" s="1026"/>
      <c r="K2" s="1026"/>
      <c r="L2" s="1026"/>
      <c r="M2" s="1026"/>
      <c r="N2" s="1026"/>
      <c r="O2" s="1026"/>
      <c r="P2" s="1026"/>
      <c r="Q2" s="1026"/>
      <c r="R2" s="1026"/>
      <c r="S2" s="1026"/>
      <c r="T2" s="1026"/>
      <c r="U2" s="1026"/>
      <c r="V2" s="1026"/>
      <c r="W2" s="1026"/>
      <c r="X2" s="1026"/>
    </row>
    <row r="3" spans="1:24">
      <c r="A3" s="1026"/>
      <c r="B3" s="1026"/>
      <c r="C3" s="1026"/>
      <c r="D3" s="1026"/>
      <c r="E3" s="1026"/>
      <c r="F3" s="1026"/>
      <c r="G3" s="1026"/>
      <c r="H3" s="1026"/>
      <c r="I3" s="1026"/>
      <c r="J3" s="1026"/>
      <c r="K3" s="1026"/>
      <c r="L3" s="1026"/>
      <c r="M3" s="1026"/>
      <c r="N3" s="1026"/>
      <c r="O3" s="1026"/>
      <c r="P3" s="1026"/>
      <c r="Q3" s="1026"/>
      <c r="R3" s="1026"/>
      <c r="S3" s="1026"/>
      <c r="T3" s="1026"/>
      <c r="U3" s="1026"/>
      <c r="V3" s="1026"/>
      <c r="W3" s="1026"/>
      <c r="X3" s="1026"/>
    </row>
    <row r="4" spans="1:24">
      <c r="A4" s="1026"/>
      <c r="B4" s="1026"/>
      <c r="C4" s="1026"/>
      <c r="D4" s="1026"/>
      <c r="E4" s="1026"/>
      <c r="F4" s="1026"/>
      <c r="G4" s="1026"/>
      <c r="H4" s="1026"/>
      <c r="I4" s="1026"/>
      <c r="J4" s="1026"/>
      <c r="K4" s="1026"/>
      <c r="L4" s="1026"/>
      <c r="M4" s="1026"/>
      <c r="N4" s="1026"/>
      <c r="O4" s="1026"/>
      <c r="P4" s="1026"/>
      <c r="Q4" s="1026"/>
      <c r="R4" s="1026"/>
      <c r="S4" s="1026"/>
      <c r="T4" s="1026"/>
      <c r="U4" s="1026"/>
      <c r="V4" s="1026"/>
      <c r="W4" s="1026"/>
      <c r="X4" s="1026"/>
    </row>
  </sheetData>
  <mergeCells count="1">
    <mergeCell ref="A1:X4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tabColor theme="8"/>
  </sheetPr>
  <dimension ref="A1:X4"/>
  <sheetViews>
    <sheetView zoomScale="84" zoomScaleNormal="84" workbookViewId="0">
      <selection activeCell="P35" sqref="P35"/>
    </sheetView>
  </sheetViews>
  <sheetFormatPr baseColWidth="10" defaultRowHeight="15"/>
  <sheetData>
    <row r="1" spans="1:24">
      <c r="A1" s="1026" t="s">
        <v>43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</row>
    <row r="2" spans="1:24">
      <c r="A2" s="1026"/>
      <c r="B2" s="1026"/>
      <c r="C2" s="1026"/>
      <c r="D2" s="1026"/>
      <c r="E2" s="1026"/>
      <c r="F2" s="1026"/>
      <c r="G2" s="1026"/>
      <c r="H2" s="1026"/>
      <c r="I2" s="1026"/>
      <c r="J2" s="1026"/>
      <c r="K2" s="1026"/>
      <c r="L2" s="1026"/>
      <c r="M2" s="1026"/>
      <c r="N2" s="1026"/>
      <c r="O2" s="1026"/>
      <c r="P2" s="1026"/>
      <c r="Q2" s="1026"/>
      <c r="R2" s="1026"/>
      <c r="S2" s="1026"/>
      <c r="T2" s="1026"/>
      <c r="U2" s="1026"/>
      <c r="V2" s="1026"/>
      <c r="W2" s="1026"/>
      <c r="X2" s="1026"/>
    </row>
    <row r="3" spans="1:24">
      <c r="A3" s="1026"/>
      <c r="B3" s="1026"/>
      <c r="C3" s="1026"/>
      <c r="D3" s="1026"/>
      <c r="E3" s="1026"/>
      <c r="F3" s="1026"/>
      <c r="G3" s="1026"/>
      <c r="H3" s="1026"/>
      <c r="I3" s="1026"/>
      <c r="J3" s="1026"/>
      <c r="K3" s="1026"/>
      <c r="L3" s="1026"/>
      <c r="M3" s="1026"/>
      <c r="N3" s="1026"/>
      <c r="O3" s="1026"/>
      <c r="P3" s="1026"/>
      <c r="Q3" s="1026"/>
      <c r="R3" s="1026"/>
      <c r="S3" s="1026"/>
      <c r="T3" s="1026"/>
      <c r="U3" s="1026"/>
      <c r="V3" s="1026"/>
      <c r="W3" s="1026"/>
      <c r="X3" s="1026"/>
    </row>
    <row r="4" spans="1:24">
      <c r="A4" s="1026"/>
      <c r="B4" s="1026"/>
      <c r="C4" s="1026"/>
      <c r="D4" s="1026"/>
      <c r="E4" s="1026"/>
      <c r="F4" s="1026"/>
      <c r="G4" s="1026"/>
      <c r="H4" s="1026"/>
      <c r="I4" s="1026"/>
      <c r="J4" s="1026"/>
      <c r="K4" s="1026"/>
      <c r="L4" s="1026"/>
      <c r="M4" s="1026"/>
      <c r="N4" s="1026"/>
      <c r="O4" s="1026"/>
      <c r="P4" s="1026"/>
      <c r="Q4" s="1026"/>
      <c r="R4" s="1026"/>
      <c r="S4" s="1026"/>
      <c r="T4" s="1026"/>
      <c r="U4" s="1026"/>
      <c r="V4" s="1026"/>
      <c r="W4" s="1026"/>
      <c r="X4" s="1026"/>
    </row>
  </sheetData>
  <mergeCells count="1">
    <mergeCell ref="A1:X4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tabColor theme="8"/>
  </sheetPr>
  <dimension ref="A1:X4"/>
  <sheetViews>
    <sheetView zoomScale="85" zoomScaleNormal="85" workbookViewId="0">
      <selection activeCell="V42" sqref="V42"/>
    </sheetView>
  </sheetViews>
  <sheetFormatPr baseColWidth="10" defaultRowHeight="15"/>
  <sheetData>
    <row r="1" spans="1:24">
      <c r="A1" s="1026" t="s">
        <v>43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</row>
    <row r="2" spans="1:24">
      <c r="A2" s="1026"/>
      <c r="B2" s="1026"/>
      <c r="C2" s="1026"/>
      <c r="D2" s="1026"/>
      <c r="E2" s="1026"/>
      <c r="F2" s="1026"/>
      <c r="G2" s="1026"/>
      <c r="H2" s="1026"/>
      <c r="I2" s="1026"/>
      <c r="J2" s="1026"/>
      <c r="K2" s="1026"/>
      <c r="L2" s="1026"/>
      <c r="M2" s="1026"/>
      <c r="N2" s="1026"/>
      <c r="O2" s="1026"/>
      <c r="P2" s="1026"/>
      <c r="Q2" s="1026"/>
      <c r="R2" s="1026"/>
      <c r="S2" s="1026"/>
      <c r="T2" s="1026"/>
      <c r="U2" s="1026"/>
      <c r="V2" s="1026"/>
      <c r="W2" s="1026"/>
      <c r="X2" s="1026"/>
    </row>
    <row r="3" spans="1:24">
      <c r="A3" s="1026"/>
      <c r="B3" s="1026"/>
      <c r="C3" s="1026"/>
      <c r="D3" s="1026"/>
      <c r="E3" s="1026"/>
      <c r="F3" s="1026"/>
      <c r="G3" s="1026"/>
      <c r="H3" s="1026"/>
      <c r="I3" s="1026"/>
      <c r="J3" s="1026"/>
      <c r="K3" s="1026"/>
      <c r="L3" s="1026"/>
      <c r="M3" s="1026"/>
      <c r="N3" s="1026"/>
      <c r="O3" s="1026"/>
      <c r="P3" s="1026"/>
      <c r="Q3" s="1026"/>
      <c r="R3" s="1026"/>
      <c r="S3" s="1026"/>
      <c r="T3" s="1026"/>
      <c r="U3" s="1026"/>
      <c r="V3" s="1026"/>
      <c r="W3" s="1026"/>
      <c r="X3" s="1026"/>
    </row>
    <row r="4" spans="1:24">
      <c r="A4" s="1026"/>
      <c r="B4" s="1026"/>
      <c r="C4" s="1026"/>
      <c r="D4" s="1026"/>
      <c r="E4" s="1026"/>
      <c r="F4" s="1026"/>
      <c r="G4" s="1026"/>
      <c r="H4" s="1026"/>
      <c r="I4" s="1026"/>
      <c r="J4" s="1026"/>
      <c r="K4" s="1026"/>
      <c r="L4" s="1026"/>
      <c r="M4" s="1026"/>
      <c r="N4" s="1026"/>
      <c r="O4" s="1026"/>
      <c r="P4" s="1026"/>
      <c r="Q4" s="1026"/>
      <c r="R4" s="1026"/>
      <c r="S4" s="1026"/>
      <c r="T4" s="1026"/>
      <c r="U4" s="1026"/>
      <c r="V4" s="1026"/>
      <c r="W4" s="1026"/>
      <c r="X4" s="1026"/>
    </row>
  </sheetData>
  <mergeCells count="1">
    <mergeCell ref="A1:X4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>
    <tabColor theme="6"/>
  </sheetPr>
  <dimension ref="A1:X4"/>
  <sheetViews>
    <sheetView zoomScale="85" zoomScaleNormal="85" workbookViewId="0">
      <selection activeCell="V40" sqref="V40"/>
    </sheetView>
  </sheetViews>
  <sheetFormatPr baseColWidth="10" defaultRowHeight="15"/>
  <sheetData>
    <row r="1" spans="1:24">
      <c r="A1" s="1027" t="s">
        <v>2029</v>
      </c>
      <c r="B1" s="1027"/>
      <c r="C1" s="1027"/>
      <c r="D1" s="1027"/>
      <c r="E1" s="1027"/>
      <c r="F1" s="1027"/>
      <c r="G1" s="1027"/>
      <c r="H1" s="1027"/>
      <c r="I1" s="1027"/>
      <c r="J1" s="1027"/>
      <c r="K1" s="1027"/>
      <c r="L1" s="1027"/>
      <c r="M1" s="1027"/>
      <c r="N1" s="1027"/>
      <c r="O1" s="1027"/>
      <c r="P1" s="1027"/>
      <c r="Q1" s="1027"/>
      <c r="R1" s="1027"/>
      <c r="S1" s="1027"/>
      <c r="T1" s="1027"/>
      <c r="U1" s="1027"/>
      <c r="V1" s="1027"/>
      <c r="W1" s="1027"/>
      <c r="X1" s="1027"/>
    </row>
    <row r="2" spans="1:24">
      <c r="A2" s="1027"/>
      <c r="B2" s="1027"/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27"/>
      <c r="O2" s="1027"/>
      <c r="P2" s="1027"/>
      <c r="Q2" s="1027"/>
      <c r="R2" s="1027"/>
      <c r="S2" s="1027"/>
      <c r="T2" s="1027"/>
      <c r="U2" s="1027"/>
      <c r="V2" s="1027"/>
      <c r="W2" s="1027"/>
      <c r="X2" s="1027"/>
    </row>
    <row r="3" spans="1:24">
      <c r="A3" s="1027"/>
      <c r="B3" s="1027"/>
      <c r="C3" s="1027"/>
      <c r="D3" s="1027"/>
      <c r="E3" s="1027"/>
      <c r="F3" s="1027"/>
      <c r="G3" s="1027"/>
      <c r="H3" s="1027"/>
      <c r="I3" s="1027"/>
      <c r="J3" s="1027"/>
      <c r="K3" s="1027"/>
      <c r="L3" s="1027"/>
      <c r="M3" s="1027"/>
      <c r="N3" s="1027"/>
      <c r="O3" s="1027"/>
      <c r="P3" s="1027"/>
      <c r="Q3" s="1027"/>
      <c r="R3" s="1027"/>
      <c r="S3" s="1027"/>
      <c r="T3" s="1027"/>
      <c r="U3" s="1027"/>
      <c r="V3" s="1027"/>
      <c r="W3" s="1027"/>
      <c r="X3" s="1027"/>
    </row>
    <row r="4" spans="1:24">
      <c r="A4" s="1027"/>
      <c r="B4" s="1027"/>
      <c r="C4" s="1027"/>
      <c r="D4" s="1027"/>
      <c r="E4" s="1027"/>
      <c r="F4" s="1027"/>
      <c r="G4" s="1027"/>
      <c r="H4" s="1027"/>
      <c r="I4" s="1027"/>
      <c r="J4" s="1027"/>
      <c r="K4" s="1027"/>
      <c r="L4" s="1027"/>
      <c r="M4" s="1027"/>
      <c r="N4" s="1027"/>
      <c r="O4" s="1027"/>
      <c r="P4" s="1027"/>
      <c r="Q4" s="1027"/>
      <c r="R4" s="1027"/>
      <c r="S4" s="1027"/>
      <c r="T4" s="1027"/>
      <c r="U4" s="1027"/>
      <c r="V4" s="1027"/>
      <c r="W4" s="1027"/>
      <c r="X4" s="1027"/>
    </row>
  </sheetData>
  <mergeCells count="1">
    <mergeCell ref="A1:X4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>
    <tabColor theme="6"/>
  </sheetPr>
  <dimension ref="A1:X4"/>
  <sheetViews>
    <sheetView zoomScale="84" zoomScaleNormal="84" workbookViewId="0">
      <selection activeCell="P35" sqref="P35"/>
    </sheetView>
  </sheetViews>
  <sheetFormatPr baseColWidth="10" defaultRowHeight="15"/>
  <sheetData>
    <row r="1" spans="1:24">
      <c r="A1" s="1027" t="s">
        <v>2029</v>
      </c>
      <c r="B1" s="1027"/>
      <c r="C1" s="1027"/>
      <c r="D1" s="1027"/>
      <c r="E1" s="1027"/>
      <c r="F1" s="1027"/>
      <c r="G1" s="1027"/>
      <c r="H1" s="1027"/>
      <c r="I1" s="1027"/>
      <c r="J1" s="1027"/>
      <c r="K1" s="1027"/>
      <c r="L1" s="1027"/>
      <c r="M1" s="1027"/>
      <c r="N1" s="1027"/>
      <c r="O1" s="1027"/>
      <c r="P1" s="1027"/>
      <c r="Q1" s="1027"/>
      <c r="R1" s="1027"/>
      <c r="S1" s="1027"/>
      <c r="T1" s="1027"/>
      <c r="U1" s="1027"/>
      <c r="V1" s="1027"/>
      <c r="W1" s="1027"/>
      <c r="X1" s="1027"/>
    </row>
    <row r="2" spans="1:24">
      <c r="A2" s="1027"/>
      <c r="B2" s="1027"/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27"/>
      <c r="O2" s="1027"/>
      <c r="P2" s="1027"/>
      <c r="Q2" s="1027"/>
      <c r="R2" s="1027"/>
      <c r="S2" s="1027"/>
      <c r="T2" s="1027"/>
      <c r="U2" s="1027"/>
      <c r="V2" s="1027"/>
      <c r="W2" s="1027"/>
      <c r="X2" s="1027"/>
    </row>
    <row r="3" spans="1:24">
      <c r="A3" s="1027"/>
      <c r="B3" s="1027"/>
      <c r="C3" s="1027"/>
      <c r="D3" s="1027"/>
      <c r="E3" s="1027"/>
      <c r="F3" s="1027"/>
      <c r="G3" s="1027"/>
      <c r="H3" s="1027"/>
      <c r="I3" s="1027"/>
      <c r="J3" s="1027"/>
      <c r="K3" s="1027"/>
      <c r="L3" s="1027"/>
      <c r="M3" s="1027"/>
      <c r="N3" s="1027"/>
      <c r="O3" s="1027"/>
      <c r="P3" s="1027"/>
      <c r="Q3" s="1027"/>
      <c r="R3" s="1027"/>
      <c r="S3" s="1027"/>
      <c r="T3" s="1027"/>
      <c r="U3" s="1027"/>
      <c r="V3" s="1027"/>
      <c r="W3" s="1027"/>
      <c r="X3" s="1027"/>
    </row>
    <row r="4" spans="1:24">
      <c r="A4" s="1027"/>
      <c r="B4" s="1027"/>
      <c r="C4" s="1027"/>
      <c r="D4" s="1027"/>
      <c r="E4" s="1027"/>
      <c r="F4" s="1027"/>
      <c r="G4" s="1027"/>
      <c r="H4" s="1027"/>
      <c r="I4" s="1027"/>
      <c r="J4" s="1027"/>
      <c r="K4" s="1027"/>
      <c r="L4" s="1027"/>
      <c r="M4" s="1027"/>
      <c r="N4" s="1027"/>
      <c r="O4" s="1027"/>
      <c r="P4" s="1027"/>
      <c r="Q4" s="1027"/>
      <c r="R4" s="1027"/>
      <c r="S4" s="1027"/>
      <c r="T4" s="1027"/>
      <c r="U4" s="1027"/>
      <c r="V4" s="1027"/>
      <c r="W4" s="1027"/>
      <c r="X4" s="1027"/>
    </row>
  </sheetData>
  <mergeCells count="1">
    <mergeCell ref="A1:X4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tabColor theme="6"/>
  </sheetPr>
  <dimension ref="A1:X4"/>
  <sheetViews>
    <sheetView zoomScale="85" zoomScaleNormal="85" workbookViewId="0">
      <selection activeCell="P35" sqref="P35"/>
    </sheetView>
  </sheetViews>
  <sheetFormatPr baseColWidth="10" defaultRowHeight="15"/>
  <sheetData>
    <row r="1" spans="1:24">
      <c r="A1" s="1027" t="s">
        <v>2029</v>
      </c>
      <c r="B1" s="1027"/>
      <c r="C1" s="1027"/>
      <c r="D1" s="1027"/>
      <c r="E1" s="1027"/>
      <c r="F1" s="1027"/>
      <c r="G1" s="1027"/>
      <c r="H1" s="1027"/>
      <c r="I1" s="1027"/>
      <c r="J1" s="1027"/>
      <c r="K1" s="1027"/>
      <c r="L1" s="1027"/>
      <c r="M1" s="1027"/>
      <c r="N1" s="1027"/>
      <c r="O1" s="1027"/>
      <c r="P1" s="1027"/>
      <c r="Q1" s="1027"/>
      <c r="R1" s="1027"/>
      <c r="S1" s="1027"/>
      <c r="T1" s="1027"/>
      <c r="U1" s="1027"/>
      <c r="V1" s="1027"/>
      <c r="W1" s="1027"/>
      <c r="X1" s="1027"/>
    </row>
    <row r="2" spans="1:24">
      <c r="A2" s="1027"/>
      <c r="B2" s="1027"/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27"/>
      <c r="O2" s="1027"/>
      <c r="P2" s="1027"/>
      <c r="Q2" s="1027"/>
      <c r="R2" s="1027"/>
      <c r="S2" s="1027"/>
      <c r="T2" s="1027"/>
      <c r="U2" s="1027"/>
      <c r="V2" s="1027"/>
      <c r="W2" s="1027"/>
      <c r="X2" s="1027"/>
    </row>
    <row r="3" spans="1:24">
      <c r="A3" s="1027"/>
      <c r="B3" s="1027"/>
      <c r="C3" s="1027"/>
      <c r="D3" s="1027"/>
      <c r="E3" s="1027"/>
      <c r="F3" s="1027"/>
      <c r="G3" s="1027"/>
      <c r="H3" s="1027"/>
      <c r="I3" s="1027"/>
      <c r="J3" s="1027"/>
      <c r="K3" s="1027"/>
      <c r="L3" s="1027"/>
      <c r="M3" s="1027"/>
      <c r="N3" s="1027"/>
      <c r="O3" s="1027"/>
      <c r="P3" s="1027"/>
      <c r="Q3" s="1027"/>
      <c r="R3" s="1027"/>
      <c r="S3" s="1027"/>
      <c r="T3" s="1027"/>
      <c r="U3" s="1027"/>
      <c r="V3" s="1027"/>
      <c r="W3" s="1027"/>
      <c r="X3" s="1027"/>
    </row>
    <row r="4" spans="1:24">
      <c r="A4" s="1027"/>
      <c r="B4" s="1027"/>
      <c r="C4" s="1027"/>
      <c r="D4" s="1027"/>
      <c r="E4" s="1027"/>
      <c r="F4" s="1027"/>
      <c r="G4" s="1027"/>
      <c r="H4" s="1027"/>
      <c r="I4" s="1027"/>
      <c r="J4" s="1027"/>
      <c r="K4" s="1027"/>
      <c r="L4" s="1027"/>
      <c r="M4" s="1027"/>
      <c r="N4" s="1027"/>
      <c r="O4" s="1027"/>
      <c r="P4" s="1027"/>
      <c r="Q4" s="1027"/>
      <c r="R4" s="1027"/>
      <c r="S4" s="1027"/>
      <c r="T4" s="1027"/>
      <c r="U4" s="1027"/>
      <c r="V4" s="1027"/>
      <c r="W4" s="1027"/>
      <c r="X4" s="1027"/>
    </row>
  </sheetData>
  <mergeCells count="1">
    <mergeCell ref="A1:X4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tabColor theme="6"/>
  </sheetPr>
  <dimension ref="A1:X4"/>
  <sheetViews>
    <sheetView zoomScale="85" zoomScaleNormal="85" workbookViewId="0">
      <selection activeCell="P35" sqref="P35"/>
    </sheetView>
  </sheetViews>
  <sheetFormatPr baseColWidth="10" defaultRowHeight="15"/>
  <sheetData>
    <row r="1" spans="1:24">
      <c r="A1" s="1027" t="s">
        <v>2029</v>
      </c>
      <c r="B1" s="1027"/>
      <c r="C1" s="1027"/>
      <c r="D1" s="1027"/>
      <c r="E1" s="1027"/>
      <c r="F1" s="1027"/>
      <c r="G1" s="1027"/>
      <c r="H1" s="1027"/>
      <c r="I1" s="1027"/>
      <c r="J1" s="1027"/>
      <c r="K1" s="1027"/>
      <c r="L1" s="1027"/>
      <c r="M1" s="1027"/>
      <c r="N1" s="1027"/>
      <c r="O1" s="1027"/>
      <c r="P1" s="1027"/>
      <c r="Q1" s="1027"/>
      <c r="R1" s="1027"/>
      <c r="S1" s="1027"/>
      <c r="T1" s="1027"/>
      <c r="U1" s="1027"/>
      <c r="V1" s="1027"/>
      <c r="W1" s="1027"/>
      <c r="X1" s="1027"/>
    </row>
    <row r="2" spans="1:24">
      <c r="A2" s="1027"/>
      <c r="B2" s="1027"/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27"/>
      <c r="O2" s="1027"/>
      <c r="P2" s="1027"/>
      <c r="Q2" s="1027"/>
      <c r="R2" s="1027"/>
      <c r="S2" s="1027"/>
      <c r="T2" s="1027"/>
      <c r="U2" s="1027"/>
      <c r="V2" s="1027"/>
      <c r="W2" s="1027"/>
      <c r="X2" s="1027"/>
    </row>
    <row r="3" spans="1:24">
      <c r="A3" s="1027"/>
      <c r="B3" s="1027"/>
      <c r="C3" s="1027"/>
      <c r="D3" s="1027"/>
      <c r="E3" s="1027"/>
      <c r="F3" s="1027"/>
      <c r="G3" s="1027"/>
      <c r="H3" s="1027"/>
      <c r="I3" s="1027"/>
      <c r="J3" s="1027"/>
      <c r="K3" s="1027"/>
      <c r="L3" s="1027"/>
      <c r="M3" s="1027"/>
      <c r="N3" s="1027"/>
      <c r="O3" s="1027"/>
      <c r="P3" s="1027"/>
      <c r="Q3" s="1027"/>
      <c r="R3" s="1027"/>
      <c r="S3" s="1027"/>
      <c r="T3" s="1027"/>
      <c r="U3" s="1027"/>
      <c r="V3" s="1027"/>
      <c r="W3" s="1027"/>
      <c r="X3" s="1027"/>
    </row>
    <row r="4" spans="1:24">
      <c r="A4" s="1027"/>
      <c r="B4" s="1027"/>
      <c r="C4" s="1027"/>
      <c r="D4" s="1027"/>
      <c r="E4" s="1027"/>
      <c r="F4" s="1027"/>
      <c r="G4" s="1027"/>
      <c r="H4" s="1027"/>
      <c r="I4" s="1027"/>
      <c r="J4" s="1027"/>
      <c r="K4" s="1027"/>
      <c r="L4" s="1027"/>
      <c r="M4" s="1027"/>
      <c r="N4" s="1027"/>
      <c r="O4" s="1027"/>
      <c r="P4" s="1027"/>
      <c r="Q4" s="1027"/>
      <c r="R4" s="1027"/>
      <c r="S4" s="1027"/>
      <c r="T4" s="1027"/>
      <c r="U4" s="1027"/>
      <c r="V4" s="1027"/>
      <c r="W4" s="1027"/>
      <c r="X4" s="1027"/>
    </row>
  </sheetData>
  <mergeCells count="1">
    <mergeCell ref="A1:X4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tabColor theme="6"/>
  </sheetPr>
  <dimension ref="A1:X4"/>
  <sheetViews>
    <sheetView zoomScale="85" zoomScaleNormal="85" workbookViewId="0">
      <selection activeCell="P35" sqref="P35"/>
    </sheetView>
  </sheetViews>
  <sheetFormatPr baseColWidth="10" defaultRowHeight="15"/>
  <sheetData>
    <row r="1" spans="1:24">
      <c r="A1" s="1027" t="s">
        <v>2029</v>
      </c>
      <c r="B1" s="1027"/>
      <c r="C1" s="1027"/>
      <c r="D1" s="1027"/>
      <c r="E1" s="1027"/>
      <c r="F1" s="1027"/>
      <c r="G1" s="1027"/>
      <c r="H1" s="1027"/>
      <c r="I1" s="1027"/>
      <c r="J1" s="1027"/>
      <c r="K1" s="1027"/>
      <c r="L1" s="1027"/>
      <c r="M1" s="1027"/>
      <c r="N1" s="1027"/>
      <c r="O1" s="1027"/>
      <c r="P1" s="1027"/>
      <c r="Q1" s="1027"/>
      <c r="R1" s="1027"/>
      <c r="S1" s="1027"/>
      <c r="T1" s="1027"/>
      <c r="U1" s="1027"/>
      <c r="V1" s="1027"/>
      <c r="W1" s="1027"/>
      <c r="X1" s="1027"/>
    </row>
    <row r="2" spans="1:24">
      <c r="A2" s="1027"/>
      <c r="B2" s="1027"/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27"/>
      <c r="O2" s="1027"/>
      <c r="P2" s="1027"/>
      <c r="Q2" s="1027"/>
      <c r="R2" s="1027"/>
      <c r="S2" s="1027"/>
      <c r="T2" s="1027"/>
      <c r="U2" s="1027"/>
      <c r="V2" s="1027"/>
      <c r="W2" s="1027"/>
      <c r="X2" s="1027"/>
    </row>
    <row r="3" spans="1:24">
      <c r="A3" s="1027"/>
      <c r="B3" s="1027"/>
      <c r="C3" s="1027"/>
      <c r="D3" s="1027"/>
      <c r="E3" s="1027"/>
      <c r="F3" s="1027"/>
      <c r="G3" s="1027"/>
      <c r="H3" s="1027"/>
      <c r="I3" s="1027"/>
      <c r="J3" s="1027"/>
      <c r="K3" s="1027"/>
      <c r="L3" s="1027"/>
      <c r="M3" s="1027"/>
      <c r="N3" s="1027"/>
      <c r="O3" s="1027"/>
      <c r="P3" s="1027"/>
      <c r="Q3" s="1027"/>
      <c r="R3" s="1027"/>
      <c r="S3" s="1027"/>
      <c r="T3" s="1027"/>
      <c r="U3" s="1027"/>
      <c r="V3" s="1027"/>
      <c r="W3" s="1027"/>
      <c r="X3" s="1027"/>
    </row>
    <row r="4" spans="1:24">
      <c r="A4" s="1027"/>
      <c r="B4" s="1027"/>
      <c r="C4" s="1027"/>
      <c r="D4" s="1027"/>
      <c r="E4" s="1027"/>
      <c r="F4" s="1027"/>
      <c r="G4" s="1027"/>
      <c r="H4" s="1027"/>
      <c r="I4" s="1027"/>
      <c r="J4" s="1027"/>
      <c r="K4" s="1027"/>
      <c r="L4" s="1027"/>
      <c r="M4" s="1027"/>
      <c r="N4" s="1027"/>
      <c r="O4" s="1027"/>
      <c r="P4" s="1027"/>
      <c r="Q4" s="1027"/>
      <c r="R4" s="1027"/>
      <c r="S4" s="1027"/>
      <c r="T4" s="1027"/>
      <c r="U4" s="1027"/>
      <c r="V4" s="1027"/>
      <c r="W4" s="1027"/>
      <c r="X4" s="1027"/>
    </row>
  </sheetData>
  <mergeCells count="1">
    <mergeCell ref="A1:X4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>
    <tabColor theme="9"/>
  </sheetPr>
  <dimension ref="A1:X4"/>
  <sheetViews>
    <sheetView zoomScale="85" zoomScaleNormal="85" workbookViewId="0">
      <selection activeCell="P35" sqref="P35"/>
    </sheetView>
  </sheetViews>
  <sheetFormatPr baseColWidth="10" defaultRowHeight="15"/>
  <sheetData>
    <row r="1" spans="1:24">
      <c r="A1" s="1028" t="s">
        <v>91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  <c r="L1" s="1028"/>
      <c r="M1" s="1028"/>
      <c r="N1" s="1028"/>
      <c r="O1" s="1028"/>
      <c r="P1" s="1028"/>
      <c r="Q1" s="1028"/>
      <c r="R1" s="1028"/>
      <c r="S1" s="1028"/>
      <c r="T1" s="1028"/>
      <c r="U1" s="1028"/>
      <c r="V1" s="1028"/>
      <c r="W1" s="1028"/>
      <c r="X1" s="1028"/>
    </row>
    <row r="2" spans="1:24">
      <c r="A2" s="1028"/>
      <c r="B2" s="1028"/>
      <c r="C2" s="1028"/>
      <c r="D2" s="1028"/>
      <c r="E2" s="1028"/>
      <c r="F2" s="1028"/>
      <c r="G2" s="1028"/>
      <c r="H2" s="1028"/>
      <c r="I2" s="1028"/>
      <c r="J2" s="1028"/>
      <c r="K2" s="1028"/>
      <c r="L2" s="1028"/>
      <c r="M2" s="1028"/>
      <c r="N2" s="1028"/>
      <c r="O2" s="1028"/>
      <c r="P2" s="1028"/>
      <c r="Q2" s="1028"/>
      <c r="R2" s="1028"/>
      <c r="S2" s="1028"/>
      <c r="T2" s="1028"/>
      <c r="U2" s="1028"/>
      <c r="V2" s="1028"/>
      <c r="W2" s="1028"/>
      <c r="X2" s="1028"/>
    </row>
    <row r="3" spans="1:24">
      <c r="A3" s="1028"/>
      <c r="B3" s="1028"/>
      <c r="C3" s="1028"/>
      <c r="D3" s="1028"/>
      <c r="E3" s="1028"/>
      <c r="F3" s="1028"/>
      <c r="G3" s="1028"/>
      <c r="H3" s="1028"/>
      <c r="I3" s="1028"/>
      <c r="J3" s="1028"/>
      <c r="K3" s="1028"/>
      <c r="L3" s="1028"/>
      <c r="M3" s="1028"/>
      <c r="N3" s="1028"/>
      <c r="O3" s="1028"/>
      <c r="P3" s="1028"/>
      <c r="Q3" s="1028"/>
      <c r="R3" s="1028"/>
      <c r="S3" s="1028"/>
      <c r="T3" s="1028"/>
      <c r="U3" s="1028"/>
      <c r="V3" s="1028"/>
      <c r="W3" s="1028"/>
      <c r="X3" s="1028"/>
    </row>
    <row r="4" spans="1:24">
      <c r="A4" s="1028"/>
      <c r="B4" s="1028"/>
      <c r="C4" s="1028"/>
      <c r="D4" s="1028"/>
      <c r="E4" s="1028"/>
      <c r="F4" s="1028"/>
      <c r="G4" s="1028"/>
      <c r="H4" s="1028"/>
      <c r="I4" s="1028"/>
      <c r="J4" s="1028"/>
      <c r="K4" s="1028"/>
      <c r="L4" s="1028"/>
      <c r="M4" s="1028"/>
      <c r="N4" s="1028"/>
      <c r="O4" s="1028"/>
      <c r="P4" s="1028"/>
      <c r="Q4" s="1028"/>
      <c r="R4" s="1028"/>
      <c r="S4" s="1028"/>
      <c r="T4" s="1028"/>
      <c r="U4" s="1028"/>
      <c r="V4" s="1028"/>
      <c r="W4" s="1028"/>
      <c r="X4" s="1028"/>
    </row>
  </sheetData>
  <mergeCells count="1">
    <mergeCell ref="A1:X4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/>
  </sheetPr>
  <dimension ref="A1:X4"/>
  <sheetViews>
    <sheetView zoomScale="85" zoomScaleNormal="85" workbookViewId="0">
      <selection activeCell="P35" sqref="P35"/>
    </sheetView>
  </sheetViews>
  <sheetFormatPr baseColWidth="10" defaultRowHeight="15"/>
  <sheetData>
    <row r="1" spans="1:24">
      <c r="A1" s="1028" t="s">
        <v>91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  <c r="L1" s="1028"/>
      <c r="M1" s="1028"/>
      <c r="N1" s="1028"/>
      <c r="O1" s="1028"/>
      <c r="P1" s="1028"/>
      <c r="Q1" s="1028"/>
      <c r="R1" s="1028"/>
      <c r="S1" s="1028"/>
      <c r="T1" s="1028"/>
      <c r="U1" s="1028"/>
      <c r="V1" s="1028"/>
      <c r="W1" s="1028"/>
      <c r="X1" s="1028"/>
    </row>
    <row r="2" spans="1:24">
      <c r="A2" s="1028"/>
      <c r="B2" s="1028"/>
      <c r="C2" s="1028"/>
      <c r="D2" s="1028"/>
      <c r="E2" s="1028"/>
      <c r="F2" s="1028"/>
      <c r="G2" s="1028"/>
      <c r="H2" s="1028"/>
      <c r="I2" s="1028"/>
      <c r="J2" s="1028"/>
      <c r="K2" s="1028"/>
      <c r="L2" s="1028"/>
      <c r="M2" s="1028"/>
      <c r="N2" s="1028"/>
      <c r="O2" s="1028"/>
      <c r="P2" s="1028"/>
      <c r="Q2" s="1028"/>
      <c r="R2" s="1028"/>
      <c r="S2" s="1028"/>
      <c r="T2" s="1028"/>
      <c r="U2" s="1028"/>
      <c r="V2" s="1028"/>
      <c r="W2" s="1028"/>
      <c r="X2" s="1028"/>
    </row>
    <row r="3" spans="1:24">
      <c r="A3" s="1028"/>
      <c r="B3" s="1028"/>
      <c r="C3" s="1028"/>
      <c r="D3" s="1028"/>
      <c r="E3" s="1028"/>
      <c r="F3" s="1028"/>
      <c r="G3" s="1028"/>
      <c r="H3" s="1028"/>
      <c r="I3" s="1028"/>
      <c r="J3" s="1028"/>
      <c r="K3" s="1028"/>
      <c r="L3" s="1028"/>
      <c r="M3" s="1028"/>
      <c r="N3" s="1028"/>
      <c r="O3" s="1028"/>
      <c r="P3" s="1028"/>
      <c r="Q3" s="1028"/>
      <c r="R3" s="1028"/>
      <c r="S3" s="1028"/>
      <c r="T3" s="1028"/>
      <c r="U3" s="1028"/>
      <c r="V3" s="1028"/>
      <c r="W3" s="1028"/>
      <c r="X3" s="1028"/>
    </row>
    <row r="4" spans="1:24">
      <c r="A4" s="1028"/>
      <c r="B4" s="1028"/>
      <c r="C4" s="1028"/>
      <c r="D4" s="1028"/>
      <c r="E4" s="1028"/>
      <c r="F4" s="1028"/>
      <c r="G4" s="1028"/>
      <c r="H4" s="1028"/>
      <c r="I4" s="1028"/>
      <c r="J4" s="1028"/>
      <c r="K4" s="1028"/>
      <c r="L4" s="1028"/>
      <c r="M4" s="1028"/>
      <c r="N4" s="1028"/>
      <c r="O4" s="1028"/>
      <c r="P4" s="1028"/>
      <c r="Q4" s="1028"/>
      <c r="R4" s="1028"/>
      <c r="S4" s="1028"/>
      <c r="T4" s="1028"/>
      <c r="U4" s="1028"/>
      <c r="V4" s="1028"/>
      <c r="W4" s="1028"/>
      <c r="X4" s="1028"/>
    </row>
  </sheetData>
  <mergeCells count="1">
    <mergeCell ref="A1:X4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>
    <tabColor theme="9"/>
  </sheetPr>
  <dimension ref="A1:X4"/>
  <sheetViews>
    <sheetView zoomScale="86" zoomScaleNormal="86" workbookViewId="0">
      <selection activeCell="V38" sqref="V38"/>
    </sheetView>
  </sheetViews>
  <sheetFormatPr baseColWidth="10" defaultRowHeight="15"/>
  <sheetData>
    <row r="1" spans="1:24">
      <c r="A1" s="1028" t="s">
        <v>91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  <c r="L1" s="1028"/>
      <c r="M1" s="1028"/>
      <c r="N1" s="1028"/>
      <c r="O1" s="1028"/>
      <c r="P1" s="1028"/>
      <c r="Q1" s="1028"/>
      <c r="R1" s="1028"/>
      <c r="S1" s="1028"/>
      <c r="T1" s="1028"/>
      <c r="U1" s="1028"/>
      <c r="V1" s="1028"/>
      <c r="W1" s="1028"/>
      <c r="X1" s="1028"/>
    </row>
    <row r="2" spans="1:24">
      <c r="A2" s="1028"/>
      <c r="B2" s="1028"/>
      <c r="C2" s="1028"/>
      <c r="D2" s="1028"/>
      <c r="E2" s="1028"/>
      <c r="F2" s="1028"/>
      <c r="G2" s="1028"/>
      <c r="H2" s="1028"/>
      <c r="I2" s="1028"/>
      <c r="J2" s="1028"/>
      <c r="K2" s="1028"/>
      <c r="L2" s="1028"/>
      <c r="M2" s="1028"/>
      <c r="N2" s="1028"/>
      <c r="O2" s="1028"/>
      <c r="P2" s="1028"/>
      <c r="Q2" s="1028"/>
      <c r="R2" s="1028"/>
      <c r="S2" s="1028"/>
      <c r="T2" s="1028"/>
      <c r="U2" s="1028"/>
      <c r="V2" s="1028"/>
      <c r="W2" s="1028"/>
      <c r="X2" s="1028"/>
    </row>
    <row r="3" spans="1:24">
      <c r="A3" s="1028"/>
      <c r="B3" s="1028"/>
      <c r="C3" s="1028"/>
      <c r="D3" s="1028"/>
      <c r="E3" s="1028"/>
      <c r="F3" s="1028"/>
      <c r="G3" s="1028"/>
      <c r="H3" s="1028"/>
      <c r="I3" s="1028"/>
      <c r="J3" s="1028"/>
      <c r="K3" s="1028"/>
      <c r="L3" s="1028"/>
      <c r="M3" s="1028"/>
      <c r="N3" s="1028"/>
      <c r="O3" s="1028"/>
      <c r="P3" s="1028"/>
      <c r="Q3" s="1028"/>
      <c r="R3" s="1028"/>
      <c r="S3" s="1028"/>
      <c r="T3" s="1028"/>
      <c r="U3" s="1028"/>
      <c r="V3" s="1028"/>
      <c r="W3" s="1028"/>
      <c r="X3" s="1028"/>
    </row>
    <row r="4" spans="1:24">
      <c r="A4" s="1028"/>
      <c r="B4" s="1028"/>
      <c r="C4" s="1028"/>
      <c r="D4" s="1028"/>
      <c r="E4" s="1028"/>
      <c r="F4" s="1028"/>
      <c r="G4" s="1028"/>
      <c r="H4" s="1028"/>
      <c r="I4" s="1028"/>
      <c r="J4" s="1028"/>
      <c r="K4" s="1028"/>
      <c r="L4" s="1028"/>
      <c r="M4" s="1028"/>
      <c r="N4" s="1028"/>
      <c r="O4" s="1028"/>
      <c r="P4" s="1028"/>
      <c r="Q4" s="1028"/>
      <c r="R4" s="1028"/>
      <c r="S4" s="1028"/>
      <c r="T4" s="1028"/>
      <c r="U4" s="1028"/>
      <c r="V4" s="1028"/>
      <c r="W4" s="1028"/>
      <c r="X4" s="1028"/>
    </row>
  </sheetData>
  <mergeCells count="1">
    <mergeCell ref="A1:X4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Z502"/>
  <sheetViews>
    <sheetView zoomScale="85" zoomScaleNormal="85" workbookViewId="0">
      <pane ySplit="1" topLeftCell="A8" activePane="bottomLeft" state="frozen"/>
      <selection activeCell="P35" sqref="P35"/>
      <selection pane="bottomLeft" activeCell="P35" sqref="P35"/>
    </sheetView>
  </sheetViews>
  <sheetFormatPr baseColWidth="10" defaultColWidth="9.140625" defaultRowHeight="12.75" outlineLevelRow="2"/>
  <cols>
    <col min="1" max="1" width="13.85546875" style="102" customWidth="1"/>
    <col min="2" max="2" width="14.28515625" style="102" customWidth="1"/>
    <col min="3" max="3" width="14.7109375" style="102" customWidth="1"/>
    <col min="4" max="4" width="9.140625" style="102" customWidth="1"/>
    <col min="5" max="5" width="33.140625" style="102" hidden="1" customWidth="1"/>
    <col min="6" max="6" width="9.140625" style="102" customWidth="1"/>
    <col min="7" max="7" width="13.85546875" style="102" customWidth="1"/>
    <col min="8" max="8" width="9.140625" style="102" customWidth="1"/>
    <col min="9" max="9" width="20.7109375" style="102" customWidth="1"/>
    <col min="10" max="10" width="9.140625" style="102" hidden="1" customWidth="1"/>
    <col min="11" max="11" width="9.140625" style="102" customWidth="1"/>
    <col min="12" max="12" width="17.85546875" style="102" customWidth="1"/>
    <col min="13" max="13" width="15.42578125" style="102" customWidth="1"/>
    <col min="14" max="67" width="9.140625" style="102" customWidth="1"/>
    <col min="68" max="68" width="36" style="102" customWidth="1"/>
    <col min="69" max="256" width="9.140625" style="102"/>
    <col min="257" max="258" width="0" style="102" hidden="1" customWidth="1"/>
    <col min="259" max="259" width="14.7109375" style="102" customWidth="1"/>
    <col min="260" max="260" width="9.140625" style="102" customWidth="1"/>
    <col min="261" max="261" width="0" style="102" hidden="1" customWidth="1"/>
    <col min="262" max="262" width="9.140625" style="102" customWidth="1"/>
    <col min="263" max="263" width="13.85546875" style="102" customWidth="1"/>
    <col min="264" max="264" width="9.140625" style="102" customWidth="1"/>
    <col min="265" max="265" width="20.7109375" style="102" customWidth="1"/>
    <col min="266" max="266" width="0" style="102" hidden="1" customWidth="1"/>
    <col min="267" max="267" width="9.140625" style="102" customWidth="1"/>
    <col min="268" max="268" width="17.85546875" style="102" customWidth="1"/>
    <col min="269" max="269" width="15.42578125" style="102" customWidth="1"/>
    <col min="270" max="323" width="9.140625" style="102" customWidth="1"/>
    <col min="324" max="324" width="36" style="102" customWidth="1"/>
    <col min="325" max="512" width="9.140625" style="102"/>
    <col min="513" max="514" width="0" style="102" hidden="1" customWidth="1"/>
    <col min="515" max="515" width="14.7109375" style="102" customWidth="1"/>
    <col min="516" max="516" width="9.140625" style="102" customWidth="1"/>
    <col min="517" max="517" width="0" style="102" hidden="1" customWidth="1"/>
    <col min="518" max="518" width="9.140625" style="102" customWidth="1"/>
    <col min="519" max="519" width="13.85546875" style="102" customWidth="1"/>
    <col min="520" max="520" width="9.140625" style="102" customWidth="1"/>
    <col min="521" max="521" width="20.7109375" style="102" customWidth="1"/>
    <col min="522" max="522" width="0" style="102" hidden="1" customWidth="1"/>
    <col min="523" max="523" width="9.140625" style="102" customWidth="1"/>
    <col min="524" max="524" width="17.85546875" style="102" customWidth="1"/>
    <col min="525" max="525" width="15.42578125" style="102" customWidth="1"/>
    <col min="526" max="579" width="9.140625" style="102" customWidth="1"/>
    <col min="580" max="580" width="36" style="102" customWidth="1"/>
    <col min="581" max="768" width="9.140625" style="102"/>
    <col min="769" max="770" width="0" style="102" hidden="1" customWidth="1"/>
    <col min="771" max="771" width="14.7109375" style="102" customWidth="1"/>
    <col min="772" max="772" width="9.140625" style="102" customWidth="1"/>
    <col min="773" max="773" width="0" style="102" hidden="1" customWidth="1"/>
    <col min="774" max="774" width="9.140625" style="102" customWidth="1"/>
    <col min="775" max="775" width="13.85546875" style="102" customWidth="1"/>
    <col min="776" max="776" width="9.140625" style="102" customWidth="1"/>
    <col min="777" max="777" width="20.7109375" style="102" customWidth="1"/>
    <col min="778" max="778" width="0" style="102" hidden="1" customWidth="1"/>
    <col min="779" max="779" width="9.140625" style="102" customWidth="1"/>
    <col min="780" max="780" width="17.85546875" style="102" customWidth="1"/>
    <col min="781" max="781" width="15.42578125" style="102" customWidth="1"/>
    <col min="782" max="835" width="9.140625" style="102" customWidth="1"/>
    <col min="836" max="836" width="36" style="102" customWidth="1"/>
    <col min="837" max="1024" width="9.140625" style="102"/>
    <col min="1025" max="1026" width="0" style="102" hidden="1" customWidth="1"/>
    <col min="1027" max="1027" width="14.7109375" style="102" customWidth="1"/>
    <col min="1028" max="1028" width="9.140625" style="102" customWidth="1"/>
    <col min="1029" max="1029" width="0" style="102" hidden="1" customWidth="1"/>
    <col min="1030" max="1030" width="9.140625" style="102" customWidth="1"/>
    <col min="1031" max="1031" width="13.85546875" style="102" customWidth="1"/>
    <col min="1032" max="1032" width="9.140625" style="102" customWidth="1"/>
    <col min="1033" max="1033" width="20.7109375" style="102" customWidth="1"/>
    <col min="1034" max="1034" width="0" style="102" hidden="1" customWidth="1"/>
    <col min="1035" max="1035" width="9.140625" style="102" customWidth="1"/>
    <col min="1036" max="1036" width="17.85546875" style="102" customWidth="1"/>
    <col min="1037" max="1037" width="15.42578125" style="102" customWidth="1"/>
    <col min="1038" max="1091" width="9.140625" style="102" customWidth="1"/>
    <col min="1092" max="1092" width="36" style="102" customWidth="1"/>
    <col min="1093" max="1280" width="9.140625" style="102"/>
    <col min="1281" max="1282" width="0" style="102" hidden="1" customWidth="1"/>
    <col min="1283" max="1283" width="14.7109375" style="102" customWidth="1"/>
    <col min="1284" max="1284" width="9.140625" style="102" customWidth="1"/>
    <col min="1285" max="1285" width="0" style="102" hidden="1" customWidth="1"/>
    <col min="1286" max="1286" width="9.140625" style="102" customWidth="1"/>
    <col min="1287" max="1287" width="13.85546875" style="102" customWidth="1"/>
    <col min="1288" max="1288" width="9.140625" style="102" customWidth="1"/>
    <col min="1289" max="1289" width="20.7109375" style="102" customWidth="1"/>
    <col min="1290" max="1290" width="0" style="102" hidden="1" customWidth="1"/>
    <col min="1291" max="1291" width="9.140625" style="102" customWidth="1"/>
    <col min="1292" max="1292" width="17.85546875" style="102" customWidth="1"/>
    <col min="1293" max="1293" width="15.42578125" style="102" customWidth="1"/>
    <col min="1294" max="1347" width="9.140625" style="102" customWidth="1"/>
    <col min="1348" max="1348" width="36" style="102" customWidth="1"/>
    <col min="1349" max="1536" width="9.140625" style="102"/>
    <col min="1537" max="1538" width="0" style="102" hidden="1" customWidth="1"/>
    <col min="1539" max="1539" width="14.7109375" style="102" customWidth="1"/>
    <col min="1540" max="1540" width="9.140625" style="102" customWidth="1"/>
    <col min="1541" max="1541" width="0" style="102" hidden="1" customWidth="1"/>
    <col min="1542" max="1542" width="9.140625" style="102" customWidth="1"/>
    <col min="1543" max="1543" width="13.85546875" style="102" customWidth="1"/>
    <col min="1544" max="1544" width="9.140625" style="102" customWidth="1"/>
    <col min="1545" max="1545" width="20.7109375" style="102" customWidth="1"/>
    <col min="1546" max="1546" width="0" style="102" hidden="1" customWidth="1"/>
    <col min="1547" max="1547" width="9.140625" style="102" customWidth="1"/>
    <col min="1548" max="1548" width="17.85546875" style="102" customWidth="1"/>
    <col min="1549" max="1549" width="15.42578125" style="102" customWidth="1"/>
    <col min="1550" max="1603" width="9.140625" style="102" customWidth="1"/>
    <col min="1604" max="1604" width="36" style="102" customWidth="1"/>
    <col min="1605" max="1792" width="9.140625" style="102"/>
    <col min="1793" max="1794" width="0" style="102" hidden="1" customWidth="1"/>
    <col min="1795" max="1795" width="14.7109375" style="102" customWidth="1"/>
    <col min="1796" max="1796" width="9.140625" style="102" customWidth="1"/>
    <col min="1797" max="1797" width="0" style="102" hidden="1" customWidth="1"/>
    <col min="1798" max="1798" width="9.140625" style="102" customWidth="1"/>
    <col min="1799" max="1799" width="13.85546875" style="102" customWidth="1"/>
    <col min="1800" max="1800" width="9.140625" style="102" customWidth="1"/>
    <col min="1801" max="1801" width="20.7109375" style="102" customWidth="1"/>
    <col min="1802" max="1802" width="0" style="102" hidden="1" customWidth="1"/>
    <col min="1803" max="1803" width="9.140625" style="102" customWidth="1"/>
    <col min="1804" max="1804" width="17.85546875" style="102" customWidth="1"/>
    <col min="1805" max="1805" width="15.42578125" style="102" customWidth="1"/>
    <col min="1806" max="1859" width="9.140625" style="102" customWidth="1"/>
    <col min="1860" max="1860" width="36" style="102" customWidth="1"/>
    <col min="1861" max="2048" width="9.140625" style="102"/>
    <col min="2049" max="2050" width="0" style="102" hidden="1" customWidth="1"/>
    <col min="2051" max="2051" width="14.7109375" style="102" customWidth="1"/>
    <col min="2052" max="2052" width="9.140625" style="102" customWidth="1"/>
    <col min="2053" max="2053" width="0" style="102" hidden="1" customWidth="1"/>
    <col min="2054" max="2054" width="9.140625" style="102" customWidth="1"/>
    <col min="2055" max="2055" width="13.85546875" style="102" customWidth="1"/>
    <col min="2056" max="2056" width="9.140625" style="102" customWidth="1"/>
    <col min="2057" max="2057" width="20.7109375" style="102" customWidth="1"/>
    <col min="2058" max="2058" width="0" style="102" hidden="1" customWidth="1"/>
    <col min="2059" max="2059" width="9.140625" style="102" customWidth="1"/>
    <col min="2060" max="2060" width="17.85546875" style="102" customWidth="1"/>
    <col min="2061" max="2061" width="15.42578125" style="102" customWidth="1"/>
    <col min="2062" max="2115" width="9.140625" style="102" customWidth="1"/>
    <col min="2116" max="2116" width="36" style="102" customWidth="1"/>
    <col min="2117" max="2304" width="9.140625" style="102"/>
    <col min="2305" max="2306" width="0" style="102" hidden="1" customWidth="1"/>
    <col min="2307" max="2307" width="14.7109375" style="102" customWidth="1"/>
    <col min="2308" max="2308" width="9.140625" style="102" customWidth="1"/>
    <col min="2309" max="2309" width="0" style="102" hidden="1" customWidth="1"/>
    <col min="2310" max="2310" width="9.140625" style="102" customWidth="1"/>
    <col min="2311" max="2311" width="13.85546875" style="102" customWidth="1"/>
    <col min="2312" max="2312" width="9.140625" style="102" customWidth="1"/>
    <col min="2313" max="2313" width="20.7109375" style="102" customWidth="1"/>
    <col min="2314" max="2314" width="0" style="102" hidden="1" customWidth="1"/>
    <col min="2315" max="2315" width="9.140625" style="102" customWidth="1"/>
    <col min="2316" max="2316" width="17.85546875" style="102" customWidth="1"/>
    <col min="2317" max="2317" width="15.42578125" style="102" customWidth="1"/>
    <col min="2318" max="2371" width="9.140625" style="102" customWidth="1"/>
    <col min="2372" max="2372" width="36" style="102" customWidth="1"/>
    <col min="2373" max="2560" width="9.140625" style="102"/>
    <col min="2561" max="2562" width="0" style="102" hidden="1" customWidth="1"/>
    <col min="2563" max="2563" width="14.7109375" style="102" customWidth="1"/>
    <col min="2564" max="2564" width="9.140625" style="102" customWidth="1"/>
    <col min="2565" max="2565" width="0" style="102" hidden="1" customWidth="1"/>
    <col min="2566" max="2566" width="9.140625" style="102" customWidth="1"/>
    <col min="2567" max="2567" width="13.85546875" style="102" customWidth="1"/>
    <col min="2568" max="2568" width="9.140625" style="102" customWidth="1"/>
    <col min="2569" max="2569" width="20.7109375" style="102" customWidth="1"/>
    <col min="2570" max="2570" width="0" style="102" hidden="1" customWidth="1"/>
    <col min="2571" max="2571" width="9.140625" style="102" customWidth="1"/>
    <col min="2572" max="2572" width="17.85546875" style="102" customWidth="1"/>
    <col min="2573" max="2573" width="15.42578125" style="102" customWidth="1"/>
    <col min="2574" max="2627" width="9.140625" style="102" customWidth="1"/>
    <col min="2628" max="2628" width="36" style="102" customWidth="1"/>
    <col min="2629" max="2816" width="9.140625" style="102"/>
    <col min="2817" max="2818" width="0" style="102" hidden="1" customWidth="1"/>
    <col min="2819" max="2819" width="14.7109375" style="102" customWidth="1"/>
    <col min="2820" max="2820" width="9.140625" style="102" customWidth="1"/>
    <col min="2821" max="2821" width="0" style="102" hidden="1" customWidth="1"/>
    <col min="2822" max="2822" width="9.140625" style="102" customWidth="1"/>
    <col min="2823" max="2823" width="13.85546875" style="102" customWidth="1"/>
    <col min="2824" max="2824" width="9.140625" style="102" customWidth="1"/>
    <col min="2825" max="2825" width="20.7109375" style="102" customWidth="1"/>
    <col min="2826" max="2826" width="0" style="102" hidden="1" customWidth="1"/>
    <col min="2827" max="2827" width="9.140625" style="102" customWidth="1"/>
    <col min="2828" max="2828" width="17.85546875" style="102" customWidth="1"/>
    <col min="2829" max="2829" width="15.42578125" style="102" customWidth="1"/>
    <col min="2830" max="2883" width="9.140625" style="102" customWidth="1"/>
    <col min="2884" max="2884" width="36" style="102" customWidth="1"/>
    <col min="2885" max="3072" width="9.140625" style="102"/>
    <col min="3073" max="3074" width="0" style="102" hidden="1" customWidth="1"/>
    <col min="3075" max="3075" width="14.7109375" style="102" customWidth="1"/>
    <col min="3076" max="3076" width="9.140625" style="102" customWidth="1"/>
    <col min="3077" max="3077" width="0" style="102" hidden="1" customWidth="1"/>
    <col min="3078" max="3078" width="9.140625" style="102" customWidth="1"/>
    <col min="3079" max="3079" width="13.85546875" style="102" customWidth="1"/>
    <col min="3080" max="3080" width="9.140625" style="102" customWidth="1"/>
    <col min="3081" max="3081" width="20.7109375" style="102" customWidth="1"/>
    <col min="3082" max="3082" width="0" style="102" hidden="1" customWidth="1"/>
    <col min="3083" max="3083" width="9.140625" style="102" customWidth="1"/>
    <col min="3084" max="3084" width="17.85546875" style="102" customWidth="1"/>
    <col min="3085" max="3085" width="15.42578125" style="102" customWidth="1"/>
    <col min="3086" max="3139" width="9.140625" style="102" customWidth="1"/>
    <col min="3140" max="3140" width="36" style="102" customWidth="1"/>
    <col min="3141" max="3328" width="9.140625" style="102"/>
    <col min="3329" max="3330" width="0" style="102" hidden="1" customWidth="1"/>
    <col min="3331" max="3331" width="14.7109375" style="102" customWidth="1"/>
    <col min="3332" max="3332" width="9.140625" style="102" customWidth="1"/>
    <col min="3333" max="3333" width="0" style="102" hidden="1" customWidth="1"/>
    <col min="3334" max="3334" width="9.140625" style="102" customWidth="1"/>
    <col min="3335" max="3335" width="13.85546875" style="102" customWidth="1"/>
    <col min="3336" max="3336" width="9.140625" style="102" customWidth="1"/>
    <col min="3337" max="3337" width="20.7109375" style="102" customWidth="1"/>
    <col min="3338" max="3338" width="0" style="102" hidden="1" customWidth="1"/>
    <col min="3339" max="3339" width="9.140625" style="102" customWidth="1"/>
    <col min="3340" max="3340" width="17.85546875" style="102" customWidth="1"/>
    <col min="3341" max="3341" width="15.42578125" style="102" customWidth="1"/>
    <col min="3342" max="3395" width="9.140625" style="102" customWidth="1"/>
    <col min="3396" max="3396" width="36" style="102" customWidth="1"/>
    <col min="3397" max="3584" width="9.140625" style="102"/>
    <col min="3585" max="3586" width="0" style="102" hidden="1" customWidth="1"/>
    <col min="3587" max="3587" width="14.7109375" style="102" customWidth="1"/>
    <col min="3588" max="3588" width="9.140625" style="102" customWidth="1"/>
    <col min="3589" max="3589" width="0" style="102" hidden="1" customWidth="1"/>
    <col min="3590" max="3590" width="9.140625" style="102" customWidth="1"/>
    <col min="3591" max="3591" width="13.85546875" style="102" customWidth="1"/>
    <col min="3592" max="3592" width="9.140625" style="102" customWidth="1"/>
    <col min="3593" max="3593" width="20.7109375" style="102" customWidth="1"/>
    <col min="3594" max="3594" width="0" style="102" hidden="1" customWidth="1"/>
    <col min="3595" max="3595" width="9.140625" style="102" customWidth="1"/>
    <col min="3596" max="3596" width="17.85546875" style="102" customWidth="1"/>
    <col min="3597" max="3597" width="15.42578125" style="102" customWidth="1"/>
    <col min="3598" max="3651" width="9.140625" style="102" customWidth="1"/>
    <col min="3652" max="3652" width="36" style="102" customWidth="1"/>
    <col min="3653" max="3840" width="9.140625" style="102"/>
    <col min="3841" max="3842" width="0" style="102" hidden="1" customWidth="1"/>
    <col min="3843" max="3843" width="14.7109375" style="102" customWidth="1"/>
    <col min="3844" max="3844" width="9.140625" style="102" customWidth="1"/>
    <col min="3845" max="3845" width="0" style="102" hidden="1" customWidth="1"/>
    <col min="3846" max="3846" width="9.140625" style="102" customWidth="1"/>
    <col min="3847" max="3847" width="13.85546875" style="102" customWidth="1"/>
    <col min="3848" max="3848" width="9.140625" style="102" customWidth="1"/>
    <col min="3849" max="3849" width="20.7109375" style="102" customWidth="1"/>
    <col min="3850" max="3850" width="0" style="102" hidden="1" customWidth="1"/>
    <col min="3851" max="3851" width="9.140625" style="102" customWidth="1"/>
    <col min="3852" max="3852" width="17.85546875" style="102" customWidth="1"/>
    <col min="3853" max="3853" width="15.42578125" style="102" customWidth="1"/>
    <col min="3854" max="3907" width="9.140625" style="102" customWidth="1"/>
    <col min="3908" max="3908" width="36" style="102" customWidth="1"/>
    <col min="3909" max="4096" width="9.140625" style="102"/>
    <col min="4097" max="4098" width="0" style="102" hidden="1" customWidth="1"/>
    <col min="4099" max="4099" width="14.7109375" style="102" customWidth="1"/>
    <col min="4100" max="4100" width="9.140625" style="102" customWidth="1"/>
    <col min="4101" max="4101" width="0" style="102" hidden="1" customWidth="1"/>
    <col min="4102" max="4102" width="9.140625" style="102" customWidth="1"/>
    <col min="4103" max="4103" width="13.85546875" style="102" customWidth="1"/>
    <col min="4104" max="4104" width="9.140625" style="102" customWidth="1"/>
    <col min="4105" max="4105" width="20.7109375" style="102" customWidth="1"/>
    <col min="4106" max="4106" width="0" style="102" hidden="1" customWidth="1"/>
    <col min="4107" max="4107" width="9.140625" style="102" customWidth="1"/>
    <col min="4108" max="4108" width="17.85546875" style="102" customWidth="1"/>
    <col min="4109" max="4109" width="15.42578125" style="102" customWidth="1"/>
    <col min="4110" max="4163" width="9.140625" style="102" customWidth="1"/>
    <col min="4164" max="4164" width="36" style="102" customWidth="1"/>
    <col min="4165" max="4352" width="9.140625" style="102"/>
    <col min="4353" max="4354" width="0" style="102" hidden="1" customWidth="1"/>
    <col min="4355" max="4355" width="14.7109375" style="102" customWidth="1"/>
    <col min="4356" max="4356" width="9.140625" style="102" customWidth="1"/>
    <col min="4357" max="4357" width="0" style="102" hidden="1" customWidth="1"/>
    <col min="4358" max="4358" width="9.140625" style="102" customWidth="1"/>
    <col min="4359" max="4359" width="13.85546875" style="102" customWidth="1"/>
    <col min="4360" max="4360" width="9.140625" style="102" customWidth="1"/>
    <col min="4361" max="4361" width="20.7109375" style="102" customWidth="1"/>
    <col min="4362" max="4362" width="0" style="102" hidden="1" customWidth="1"/>
    <col min="4363" max="4363" width="9.140625" style="102" customWidth="1"/>
    <col min="4364" max="4364" width="17.85546875" style="102" customWidth="1"/>
    <col min="4365" max="4365" width="15.42578125" style="102" customWidth="1"/>
    <col min="4366" max="4419" width="9.140625" style="102" customWidth="1"/>
    <col min="4420" max="4420" width="36" style="102" customWidth="1"/>
    <col min="4421" max="4608" width="9.140625" style="102"/>
    <col min="4609" max="4610" width="0" style="102" hidden="1" customWidth="1"/>
    <col min="4611" max="4611" width="14.7109375" style="102" customWidth="1"/>
    <col min="4612" max="4612" width="9.140625" style="102" customWidth="1"/>
    <col min="4613" max="4613" width="0" style="102" hidden="1" customWidth="1"/>
    <col min="4614" max="4614" width="9.140625" style="102" customWidth="1"/>
    <col min="4615" max="4615" width="13.85546875" style="102" customWidth="1"/>
    <col min="4616" max="4616" width="9.140625" style="102" customWidth="1"/>
    <col min="4617" max="4617" width="20.7109375" style="102" customWidth="1"/>
    <col min="4618" max="4618" width="0" style="102" hidden="1" customWidth="1"/>
    <col min="4619" max="4619" width="9.140625" style="102" customWidth="1"/>
    <col min="4620" max="4620" width="17.85546875" style="102" customWidth="1"/>
    <col min="4621" max="4621" width="15.42578125" style="102" customWidth="1"/>
    <col min="4622" max="4675" width="9.140625" style="102" customWidth="1"/>
    <col min="4676" max="4676" width="36" style="102" customWidth="1"/>
    <col min="4677" max="4864" width="9.140625" style="102"/>
    <col min="4865" max="4866" width="0" style="102" hidden="1" customWidth="1"/>
    <col min="4867" max="4867" width="14.7109375" style="102" customWidth="1"/>
    <col min="4868" max="4868" width="9.140625" style="102" customWidth="1"/>
    <col min="4869" max="4869" width="0" style="102" hidden="1" customWidth="1"/>
    <col min="4870" max="4870" width="9.140625" style="102" customWidth="1"/>
    <col min="4871" max="4871" width="13.85546875" style="102" customWidth="1"/>
    <col min="4872" max="4872" width="9.140625" style="102" customWidth="1"/>
    <col min="4873" max="4873" width="20.7109375" style="102" customWidth="1"/>
    <col min="4874" max="4874" width="0" style="102" hidden="1" customWidth="1"/>
    <col min="4875" max="4875" width="9.140625" style="102" customWidth="1"/>
    <col min="4876" max="4876" width="17.85546875" style="102" customWidth="1"/>
    <col min="4877" max="4877" width="15.42578125" style="102" customWidth="1"/>
    <col min="4878" max="4931" width="9.140625" style="102" customWidth="1"/>
    <col min="4932" max="4932" width="36" style="102" customWidth="1"/>
    <col min="4933" max="5120" width="9.140625" style="102"/>
    <col min="5121" max="5122" width="0" style="102" hidden="1" customWidth="1"/>
    <col min="5123" max="5123" width="14.7109375" style="102" customWidth="1"/>
    <col min="5124" max="5124" width="9.140625" style="102" customWidth="1"/>
    <col min="5125" max="5125" width="0" style="102" hidden="1" customWidth="1"/>
    <col min="5126" max="5126" width="9.140625" style="102" customWidth="1"/>
    <col min="5127" max="5127" width="13.85546875" style="102" customWidth="1"/>
    <col min="5128" max="5128" width="9.140625" style="102" customWidth="1"/>
    <col min="5129" max="5129" width="20.7109375" style="102" customWidth="1"/>
    <col min="5130" max="5130" width="0" style="102" hidden="1" customWidth="1"/>
    <col min="5131" max="5131" width="9.140625" style="102" customWidth="1"/>
    <col min="5132" max="5132" width="17.85546875" style="102" customWidth="1"/>
    <col min="5133" max="5133" width="15.42578125" style="102" customWidth="1"/>
    <col min="5134" max="5187" width="9.140625" style="102" customWidth="1"/>
    <col min="5188" max="5188" width="36" style="102" customWidth="1"/>
    <col min="5189" max="5376" width="9.140625" style="102"/>
    <col min="5377" max="5378" width="0" style="102" hidden="1" customWidth="1"/>
    <col min="5379" max="5379" width="14.7109375" style="102" customWidth="1"/>
    <col min="5380" max="5380" width="9.140625" style="102" customWidth="1"/>
    <col min="5381" max="5381" width="0" style="102" hidden="1" customWidth="1"/>
    <col min="5382" max="5382" width="9.140625" style="102" customWidth="1"/>
    <col min="5383" max="5383" width="13.85546875" style="102" customWidth="1"/>
    <col min="5384" max="5384" width="9.140625" style="102" customWidth="1"/>
    <col min="5385" max="5385" width="20.7109375" style="102" customWidth="1"/>
    <col min="5386" max="5386" width="0" style="102" hidden="1" customWidth="1"/>
    <col min="5387" max="5387" width="9.140625" style="102" customWidth="1"/>
    <col min="5388" max="5388" width="17.85546875" style="102" customWidth="1"/>
    <col min="5389" max="5389" width="15.42578125" style="102" customWidth="1"/>
    <col min="5390" max="5443" width="9.140625" style="102" customWidth="1"/>
    <col min="5444" max="5444" width="36" style="102" customWidth="1"/>
    <col min="5445" max="5632" width="9.140625" style="102"/>
    <col min="5633" max="5634" width="0" style="102" hidden="1" customWidth="1"/>
    <col min="5635" max="5635" width="14.7109375" style="102" customWidth="1"/>
    <col min="5636" max="5636" width="9.140625" style="102" customWidth="1"/>
    <col min="5637" max="5637" width="0" style="102" hidden="1" customWidth="1"/>
    <col min="5638" max="5638" width="9.140625" style="102" customWidth="1"/>
    <col min="5639" max="5639" width="13.85546875" style="102" customWidth="1"/>
    <col min="5640" max="5640" width="9.140625" style="102" customWidth="1"/>
    <col min="5641" max="5641" width="20.7109375" style="102" customWidth="1"/>
    <col min="5642" max="5642" width="0" style="102" hidden="1" customWidth="1"/>
    <col min="5643" max="5643" width="9.140625" style="102" customWidth="1"/>
    <col min="5644" max="5644" width="17.85546875" style="102" customWidth="1"/>
    <col min="5645" max="5645" width="15.42578125" style="102" customWidth="1"/>
    <col min="5646" max="5699" width="9.140625" style="102" customWidth="1"/>
    <col min="5700" max="5700" width="36" style="102" customWidth="1"/>
    <col min="5701" max="5888" width="9.140625" style="102"/>
    <col min="5889" max="5890" width="0" style="102" hidden="1" customWidth="1"/>
    <col min="5891" max="5891" width="14.7109375" style="102" customWidth="1"/>
    <col min="5892" max="5892" width="9.140625" style="102" customWidth="1"/>
    <col min="5893" max="5893" width="0" style="102" hidden="1" customWidth="1"/>
    <col min="5894" max="5894" width="9.140625" style="102" customWidth="1"/>
    <col min="5895" max="5895" width="13.85546875" style="102" customWidth="1"/>
    <col min="5896" max="5896" width="9.140625" style="102" customWidth="1"/>
    <col min="5897" max="5897" width="20.7109375" style="102" customWidth="1"/>
    <col min="5898" max="5898" width="0" style="102" hidden="1" customWidth="1"/>
    <col min="5899" max="5899" width="9.140625" style="102" customWidth="1"/>
    <col min="5900" max="5900" width="17.85546875" style="102" customWidth="1"/>
    <col min="5901" max="5901" width="15.42578125" style="102" customWidth="1"/>
    <col min="5902" max="5955" width="9.140625" style="102" customWidth="1"/>
    <col min="5956" max="5956" width="36" style="102" customWidth="1"/>
    <col min="5957" max="6144" width="9.140625" style="102"/>
    <col min="6145" max="6146" width="0" style="102" hidden="1" customWidth="1"/>
    <col min="6147" max="6147" width="14.7109375" style="102" customWidth="1"/>
    <col min="6148" max="6148" width="9.140625" style="102" customWidth="1"/>
    <col min="6149" max="6149" width="0" style="102" hidden="1" customWidth="1"/>
    <col min="6150" max="6150" width="9.140625" style="102" customWidth="1"/>
    <col min="6151" max="6151" width="13.85546875" style="102" customWidth="1"/>
    <col min="6152" max="6152" width="9.140625" style="102" customWidth="1"/>
    <col min="6153" max="6153" width="20.7109375" style="102" customWidth="1"/>
    <col min="6154" max="6154" width="0" style="102" hidden="1" customWidth="1"/>
    <col min="6155" max="6155" width="9.140625" style="102" customWidth="1"/>
    <col min="6156" max="6156" width="17.85546875" style="102" customWidth="1"/>
    <col min="6157" max="6157" width="15.42578125" style="102" customWidth="1"/>
    <col min="6158" max="6211" width="9.140625" style="102" customWidth="1"/>
    <col min="6212" max="6212" width="36" style="102" customWidth="1"/>
    <col min="6213" max="6400" width="9.140625" style="102"/>
    <col min="6401" max="6402" width="0" style="102" hidden="1" customWidth="1"/>
    <col min="6403" max="6403" width="14.7109375" style="102" customWidth="1"/>
    <col min="6404" max="6404" width="9.140625" style="102" customWidth="1"/>
    <col min="6405" max="6405" width="0" style="102" hidden="1" customWidth="1"/>
    <col min="6406" max="6406" width="9.140625" style="102" customWidth="1"/>
    <col min="6407" max="6407" width="13.85546875" style="102" customWidth="1"/>
    <col min="6408" max="6408" width="9.140625" style="102" customWidth="1"/>
    <col min="6409" max="6409" width="20.7109375" style="102" customWidth="1"/>
    <col min="6410" max="6410" width="0" style="102" hidden="1" customWidth="1"/>
    <col min="6411" max="6411" width="9.140625" style="102" customWidth="1"/>
    <col min="6412" max="6412" width="17.85546875" style="102" customWidth="1"/>
    <col min="6413" max="6413" width="15.42578125" style="102" customWidth="1"/>
    <col min="6414" max="6467" width="9.140625" style="102" customWidth="1"/>
    <col min="6468" max="6468" width="36" style="102" customWidth="1"/>
    <col min="6469" max="6656" width="9.140625" style="102"/>
    <col min="6657" max="6658" width="0" style="102" hidden="1" customWidth="1"/>
    <col min="6659" max="6659" width="14.7109375" style="102" customWidth="1"/>
    <col min="6660" max="6660" width="9.140625" style="102" customWidth="1"/>
    <col min="6661" max="6661" width="0" style="102" hidden="1" customWidth="1"/>
    <col min="6662" max="6662" width="9.140625" style="102" customWidth="1"/>
    <col min="6663" max="6663" width="13.85546875" style="102" customWidth="1"/>
    <col min="6664" max="6664" width="9.140625" style="102" customWidth="1"/>
    <col min="6665" max="6665" width="20.7109375" style="102" customWidth="1"/>
    <col min="6666" max="6666" width="0" style="102" hidden="1" customWidth="1"/>
    <col min="6667" max="6667" width="9.140625" style="102" customWidth="1"/>
    <col min="6668" max="6668" width="17.85546875" style="102" customWidth="1"/>
    <col min="6669" max="6669" width="15.42578125" style="102" customWidth="1"/>
    <col min="6670" max="6723" width="9.140625" style="102" customWidth="1"/>
    <col min="6724" max="6724" width="36" style="102" customWidth="1"/>
    <col min="6725" max="6912" width="9.140625" style="102"/>
    <col min="6913" max="6914" width="0" style="102" hidden="1" customWidth="1"/>
    <col min="6915" max="6915" width="14.7109375" style="102" customWidth="1"/>
    <col min="6916" max="6916" width="9.140625" style="102" customWidth="1"/>
    <col min="6917" max="6917" width="0" style="102" hidden="1" customWidth="1"/>
    <col min="6918" max="6918" width="9.140625" style="102" customWidth="1"/>
    <col min="6919" max="6919" width="13.85546875" style="102" customWidth="1"/>
    <col min="6920" max="6920" width="9.140625" style="102" customWidth="1"/>
    <col min="6921" max="6921" width="20.7109375" style="102" customWidth="1"/>
    <col min="6922" max="6922" width="0" style="102" hidden="1" customWidth="1"/>
    <col min="6923" max="6923" width="9.140625" style="102" customWidth="1"/>
    <col min="6924" max="6924" width="17.85546875" style="102" customWidth="1"/>
    <col min="6925" max="6925" width="15.42578125" style="102" customWidth="1"/>
    <col min="6926" max="6979" width="9.140625" style="102" customWidth="1"/>
    <col min="6980" max="6980" width="36" style="102" customWidth="1"/>
    <col min="6981" max="7168" width="9.140625" style="102"/>
    <col min="7169" max="7170" width="0" style="102" hidden="1" customWidth="1"/>
    <col min="7171" max="7171" width="14.7109375" style="102" customWidth="1"/>
    <col min="7172" max="7172" width="9.140625" style="102" customWidth="1"/>
    <col min="7173" max="7173" width="0" style="102" hidden="1" customWidth="1"/>
    <col min="7174" max="7174" width="9.140625" style="102" customWidth="1"/>
    <col min="7175" max="7175" width="13.85546875" style="102" customWidth="1"/>
    <col min="7176" max="7176" width="9.140625" style="102" customWidth="1"/>
    <col min="7177" max="7177" width="20.7109375" style="102" customWidth="1"/>
    <col min="7178" max="7178" width="0" style="102" hidden="1" customWidth="1"/>
    <col min="7179" max="7179" width="9.140625" style="102" customWidth="1"/>
    <col min="7180" max="7180" width="17.85546875" style="102" customWidth="1"/>
    <col min="7181" max="7181" width="15.42578125" style="102" customWidth="1"/>
    <col min="7182" max="7235" width="9.140625" style="102" customWidth="1"/>
    <col min="7236" max="7236" width="36" style="102" customWidth="1"/>
    <col min="7237" max="7424" width="9.140625" style="102"/>
    <col min="7425" max="7426" width="0" style="102" hidden="1" customWidth="1"/>
    <col min="7427" max="7427" width="14.7109375" style="102" customWidth="1"/>
    <col min="7428" max="7428" width="9.140625" style="102" customWidth="1"/>
    <col min="7429" max="7429" width="0" style="102" hidden="1" customWidth="1"/>
    <col min="7430" max="7430" width="9.140625" style="102" customWidth="1"/>
    <col min="7431" max="7431" width="13.85546875" style="102" customWidth="1"/>
    <col min="7432" max="7432" width="9.140625" style="102" customWidth="1"/>
    <col min="7433" max="7433" width="20.7109375" style="102" customWidth="1"/>
    <col min="7434" max="7434" width="0" style="102" hidden="1" customWidth="1"/>
    <col min="7435" max="7435" width="9.140625" style="102" customWidth="1"/>
    <col min="7436" max="7436" width="17.85546875" style="102" customWidth="1"/>
    <col min="7437" max="7437" width="15.42578125" style="102" customWidth="1"/>
    <col min="7438" max="7491" width="9.140625" style="102" customWidth="1"/>
    <col min="7492" max="7492" width="36" style="102" customWidth="1"/>
    <col min="7493" max="7680" width="9.140625" style="102"/>
    <col min="7681" max="7682" width="0" style="102" hidden="1" customWidth="1"/>
    <col min="7683" max="7683" width="14.7109375" style="102" customWidth="1"/>
    <col min="7684" max="7684" width="9.140625" style="102" customWidth="1"/>
    <col min="7685" max="7685" width="0" style="102" hidden="1" customWidth="1"/>
    <col min="7686" max="7686" width="9.140625" style="102" customWidth="1"/>
    <col min="7687" max="7687" width="13.85546875" style="102" customWidth="1"/>
    <col min="7688" max="7688" width="9.140625" style="102" customWidth="1"/>
    <col min="7689" max="7689" width="20.7109375" style="102" customWidth="1"/>
    <col min="7690" max="7690" width="0" style="102" hidden="1" customWidth="1"/>
    <col min="7691" max="7691" width="9.140625" style="102" customWidth="1"/>
    <col min="7692" max="7692" width="17.85546875" style="102" customWidth="1"/>
    <col min="7693" max="7693" width="15.42578125" style="102" customWidth="1"/>
    <col min="7694" max="7747" width="9.140625" style="102" customWidth="1"/>
    <col min="7748" max="7748" width="36" style="102" customWidth="1"/>
    <col min="7749" max="7936" width="9.140625" style="102"/>
    <col min="7937" max="7938" width="0" style="102" hidden="1" customWidth="1"/>
    <col min="7939" max="7939" width="14.7109375" style="102" customWidth="1"/>
    <col min="7940" max="7940" width="9.140625" style="102" customWidth="1"/>
    <col min="7941" max="7941" width="0" style="102" hidden="1" customWidth="1"/>
    <col min="7942" max="7942" width="9.140625" style="102" customWidth="1"/>
    <col min="7943" max="7943" width="13.85546875" style="102" customWidth="1"/>
    <col min="7944" max="7944" width="9.140625" style="102" customWidth="1"/>
    <col min="7945" max="7945" width="20.7109375" style="102" customWidth="1"/>
    <col min="7946" max="7946" width="0" style="102" hidden="1" customWidth="1"/>
    <col min="7947" max="7947" width="9.140625" style="102" customWidth="1"/>
    <col min="7948" max="7948" width="17.85546875" style="102" customWidth="1"/>
    <col min="7949" max="7949" width="15.42578125" style="102" customWidth="1"/>
    <col min="7950" max="8003" width="9.140625" style="102" customWidth="1"/>
    <col min="8004" max="8004" width="36" style="102" customWidth="1"/>
    <col min="8005" max="8192" width="9.140625" style="102"/>
    <col min="8193" max="8194" width="0" style="102" hidden="1" customWidth="1"/>
    <col min="8195" max="8195" width="14.7109375" style="102" customWidth="1"/>
    <col min="8196" max="8196" width="9.140625" style="102" customWidth="1"/>
    <col min="8197" max="8197" width="0" style="102" hidden="1" customWidth="1"/>
    <col min="8198" max="8198" width="9.140625" style="102" customWidth="1"/>
    <col min="8199" max="8199" width="13.85546875" style="102" customWidth="1"/>
    <col min="8200" max="8200" width="9.140625" style="102" customWidth="1"/>
    <col min="8201" max="8201" width="20.7109375" style="102" customWidth="1"/>
    <col min="8202" max="8202" width="0" style="102" hidden="1" customWidth="1"/>
    <col min="8203" max="8203" width="9.140625" style="102" customWidth="1"/>
    <col min="8204" max="8204" width="17.85546875" style="102" customWidth="1"/>
    <col min="8205" max="8205" width="15.42578125" style="102" customWidth="1"/>
    <col min="8206" max="8259" width="9.140625" style="102" customWidth="1"/>
    <col min="8260" max="8260" width="36" style="102" customWidth="1"/>
    <col min="8261" max="8448" width="9.140625" style="102"/>
    <col min="8449" max="8450" width="0" style="102" hidden="1" customWidth="1"/>
    <col min="8451" max="8451" width="14.7109375" style="102" customWidth="1"/>
    <col min="8452" max="8452" width="9.140625" style="102" customWidth="1"/>
    <col min="8453" max="8453" width="0" style="102" hidden="1" customWidth="1"/>
    <col min="8454" max="8454" width="9.140625" style="102" customWidth="1"/>
    <col min="8455" max="8455" width="13.85546875" style="102" customWidth="1"/>
    <col min="8456" max="8456" width="9.140625" style="102" customWidth="1"/>
    <col min="8457" max="8457" width="20.7109375" style="102" customWidth="1"/>
    <col min="8458" max="8458" width="0" style="102" hidden="1" customWidth="1"/>
    <col min="8459" max="8459" width="9.140625" style="102" customWidth="1"/>
    <col min="8460" max="8460" width="17.85546875" style="102" customWidth="1"/>
    <col min="8461" max="8461" width="15.42578125" style="102" customWidth="1"/>
    <col min="8462" max="8515" width="9.140625" style="102" customWidth="1"/>
    <col min="8516" max="8516" width="36" style="102" customWidth="1"/>
    <col min="8517" max="8704" width="9.140625" style="102"/>
    <col min="8705" max="8706" width="0" style="102" hidden="1" customWidth="1"/>
    <col min="8707" max="8707" width="14.7109375" style="102" customWidth="1"/>
    <col min="8708" max="8708" width="9.140625" style="102" customWidth="1"/>
    <col min="8709" max="8709" width="0" style="102" hidden="1" customWidth="1"/>
    <col min="8710" max="8710" width="9.140625" style="102" customWidth="1"/>
    <col min="8711" max="8711" width="13.85546875" style="102" customWidth="1"/>
    <col min="8712" max="8712" width="9.140625" style="102" customWidth="1"/>
    <col min="8713" max="8713" width="20.7109375" style="102" customWidth="1"/>
    <col min="8714" max="8714" width="0" style="102" hidden="1" customWidth="1"/>
    <col min="8715" max="8715" width="9.140625" style="102" customWidth="1"/>
    <col min="8716" max="8716" width="17.85546875" style="102" customWidth="1"/>
    <col min="8717" max="8717" width="15.42578125" style="102" customWidth="1"/>
    <col min="8718" max="8771" width="9.140625" style="102" customWidth="1"/>
    <col min="8772" max="8772" width="36" style="102" customWidth="1"/>
    <col min="8773" max="8960" width="9.140625" style="102"/>
    <col min="8961" max="8962" width="0" style="102" hidden="1" customWidth="1"/>
    <col min="8963" max="8963" width="14.7109375" style="102" customWidth="1"/>
    <col min="8964" max="8964" width="9.140625" style="102" customWidth="1"/>
    <col min="8965" max="8965" width="0" style="102" hidden="1" customWidth="1"/>
    <col min="8966" max="8966" width="9.140625" style="102" customWidth="1"/>
    <col min="8967" max="8967" width="13.85546875" style="102" customWidth="1"/>
    <col min="8968" max="8968" width="9.140625" style="102" customWidth="1"/>
    <col min="8969" max="8969" width="20.7109375" style="102" customWidth="1"/>
    <col min="8970" max="8970" width="0" style="102" hidden="1" customWidth="1"/>
    <col min="8971" max="8971" width="9.140625" style="102" customWidth="1"/>
    <col min="8972" max="8972" width="17.85546875" style="102" customWidth="1"/>
    <col min="8973" max="8973" width="15.42578125" style="102" customWidth="1"/>
    <col min="8974" max="9027" width="9.140625" style="102" customWidth="1"/>
    <col min="9028" max="9028" width="36" style="102" customWidth="1"/>
    <col min="9029" max="9216" width="9.140625" style="102"/>
    <col min="9217" max="9218" width="0" style="102" hidden="1" customWidth="1"/>
    <col min="9219" max="9219" width="14.7109375" style="102" customWidth="1"/>
    <col min="9220" max="9220" width="9.140625" style="102" customWidth="1"/>
    <col min="9221" max="9221" width="0" style="102" hidden="1" customWidth="1"/>
    <col min="9222" max="9222" width="9.140625" style="102" customWidth="1"/>
    <col min="9223" max="9223" width="13.85546875" style="102" customWidth="1"/>
    <col min="9224" max="9224" width="9.140625" style="102" customWidth="1"/>
    <col min="9225" max="9225" width="20.7109375" style="102" customWidth="1"/>
    <col min="9226" max="9226" width="0" style="102" hidden="1" customWidth="1"/>
    <col min="9227" max="9227" width="9.140625" style="102" customWidth="1"/>
    <col min="9228" max="9228" width="17.85546875" style="102" customWidth="1"/>
    <col min="9229" max="9229" width="15.42578125" style="102" customWidth="1"/>
    <col min="9230" max="9283" width="9.140625" style="102" customWidth="1"/>
    <col min="9284" max="9284" width="36" style="102" customWidth="1"/>
    <col min="9285" max="9472" width="9.140625" style="102"/>
    <col min="9473" max="9474" width="0" style="102" hidden="1" customWidth="1"/>
    <col min="9475" max="9475" width="14.7109375" style="102" customWidth="1"/>
    <col min="9476" max="9476" width="9.140625" style="102" customWidth="1"/>
    <col min="9477" max="9477" width="0" style="102" hidden="1" customWidth="1"/>
    <col min="9478" max="9478" width="9.140625" style="102" customWidth="1"/>
    <col min="9479" max="9479" width="13.85546875" style="102" customWidth="1"/>
    <col min="9480" max="9480" width="9.140625" style="102" customWidth="1"/>
    <col min="9481" max="9481" width="20.7109375" style="102" customWidth="1"/>
    <col min="9482" max="9482" width="0" style="102" hidden="1" customWidth="1"/>
    <col min="9483" max="9483" width="9.140625" style="102" customWidth="1"/>
    <col min="9484" max="9484" width="17.85546875" style="102" customWidth="1"/>
    <col min="9485" max="9485" width="15.42578125" style="102" customWidth="1"/>
    <col min="9486" max="9539" width="9.140625" style="102" customWidth="1"/>
    <col min="9540" max="9540" width="36" style="102" customWidth="1"/>
    <col min="9541" max="9728" width="9.140625" style="102"/>
    <col min="9729" max="9730" width="0" style="102" hidden="1" customWidth="1"/>
    <col min="9731" max="9731" width="14.7109375" style="102" customWidth="1"/>
    <col min="9732" max="9732" width="9.140625" style="102" customWidth="1"/>
    <col min="9733" max="9733" width="0" style="102" hidden="1" customWidth="1"/>
    <col min="9734" max="9734" width="9.140625" style="102" customWidth="1"/>
    <col min="9735" max="9735" width="13.85546875" style="102" customWidth="1"/>
    <col min="9736" max="9736" width="9.140625" style="102" customWidth="1"/>
    <col min="9737" max="9737" width="20.7109375" style="102" customWidth="1"/>
    <col min="9738" max="9738" width="0" style="102" hidden="1" customWidth="1"/>
    <col min="9739" max="9739" width="9.140625" style="102" customWidth="1"/>
    <col min="9740" max="9740" width="17.85546875" style="102" customWidth="1"/>
    <col min="9741" max="9741" width="15.42578125" style="102" customWidth="1"/>
    <col min="9742" max="9795" width="9.140625" style="102" customWidth="1"/>
    <col min="9796" max="9796" width="36" style="102" customWidth="1"/>
    <col min="9797" max="9984" width="9.140625" style="102"/>
    <col min="9985" max="9986" width="0" style="102" hidden="1" customWidth="1"/>
    <col min="9987" max="9987" width="14.7109375" style="102" customWidth="1"/>
    <col min="9988" max="9988" width="9.140625" style="102" customWidth="1"/>
    <col min="9989" max="9989" width="0" style="102" hidden="1" customWidth="1"/>
    <col min="9990" max="9990" width="9.140625" style="102" customWidth="1"/>
    <col min="9991" max="9991" width="13.85546875" style="102" customWidth="1"/>
    <col min="9992" max="9992" width="9.140625" style="102" customWidth="1"/>
    <col min="9993" max="9993" width="20.7109375" style="102" customWidth="1"/>
    <col min="9994" max="9994" width="0" style="102" hidden="1" customWidth="1"/>
    <col min="9995" max="9995" width="9.140625" style="102" customWidth="1"/>
    <col min="9996" max="9996" width="17.85546875" style="102" customWidth="1"/>
    <col min="9997" max="9997" width="15.42578125" style="102" customWidth="1"/>
    <col min="9998" max="10051" width="9.140625" style="102" customWidth="1"/>
    <col min="10052" max="10052" width="36" style="102" customWidth="1"/>
    <col min="10053" max="10240" width="9.140625" style="102"/>
    <col min="10241" max="10242" width="0" style="102" hidden="1" customWidth="1"/>
    <col min="10243" max="10243" width="14.7109375" style="102" customWidth="1"/>
    <col min="10244" max="10244" width="9.140625" style="102" customWidth="1"/>
    <col min="10245" max="10245" width="0" style="102" hidden="1" customWidth="1"/>
    <col min="10246" max="10246" width="9.140625" style="102" customWidth="1"/>
    <col min="10247" max="10247" width="13.85546875" style="102" customWidth="1"/>
    <col min="10248" max="10248" width="9.140625" style="102" customWidth="1"/>
    <col min="10249" max="10249" width="20.7109375" style="102" customWidth="1"/>
    <col min="10250" max="10250" width="0" style="102" hidden="1" customWidth="1"/>
    <col min="10251" max="10251" width="9.140625" style="102" customWidth="1"/>
    <col min="10252" max="10252" width="17.85546875" style="102" customWidth="1"/>
    <col min="10253" max="10253" width="15.42578125" style="102" customWidth="1"/>
    <col min="10254" max="10307" width="9.140625" style="102" customWidth="1"/>
    <col min="10308" max="10308" width="36" style="102" customWidth="1"/>
    <col min="10309" max="10496" width="9.140625" style="102"/>
    <col min="10497" max="10498" width="0" style="102" hidden="1" customWidth="1"/>
    <col min="10499" max="10499" width="14.7109375" style="102" customWidth="1"/>
    <col min="10500" max="10500" width="9.140625" style="102" customWidth="1"/>
    <col min="10501" max="10501" width="0" style="102" hidden="1" customWidth="1"/>
    <col min="10502" max="10502" width="9.140625" style="102" customWidth="1"/>
    <col min="10503" max="10503" width="13.85546875" style="102" customWidth="1"/>
    <col min="10504" max="10504" width="9.140625" style="102" customWidth="1"/>
    <col min="10505" max="10505" width="20.7109375" style="102" customWidth="1"/>
    <col min="10506" max="10506" width="0" style="102" hidden="1" customWidth="1"/>
    <col min="10507" max="10507" width="9.140625" style="102" customWidth="1"/>
    <col min="10508" max="10508" width="17.85546875" style="102" customWidth="1"/>
    <col min="10509" max="10509" width="15.42578125" style="102" customWidth="1"/>
    <col min="10510" max="10563" width="9.140625" style="102" customWidth="1"/>
    <col min="10564" max="10564" width="36" style="102" customWidth="1"/>
    <col min="10565" max="10752" width="9.140625" style="102"/>
    <col min="10753" max="10754" width="0" style="102" hidden="1" customWidth="1"/>
    <col min="10755" max="10755" width="14.7109375" style="102" customWidth="1"/>
    <col min="10756" max="10756" width="9.140625" style="102" customWidth="1"/>
    <col min="10757" max="10757" width="0" style="102" hidden="1" customWidth="1"/>
    <col min="10758" max="10758" width="9.140625" style="102" customWidth="1"/>
    <col min="10759" max="10759" width="13.85546875" style="102" customWidth="1"/>
    <col min="10760" max="10760" width="9.140625" style="102" customWidth="1"/>
    <col min="10761" max="10761" width="20.7109375" style="102" customWidth="1"/>
    <col min="10762" max="10762" width="0" style="102" hidden="1" customWidth="1"/>
    <col min="10763" max="10763" width="9.140625" style="102" customWidth="1"/>
    <col min="10764" max="10764" width="17.85546875" style="102" customWidth="1"/>
    <col min="10765" max="10765" width="15.42578125" style="102" customWidth="1"/>
    <col min="10766" max="10819" width="9.140625" style="102" customWidth="1"/>
    <col min="10820" max="10820" width="36" style="102" customWidth="1"/>
    <col min="10821" max="11008" width="9.140625" style="102"/>
    <col min="11009" max="11010" width="0" style="102" hidden="1" customWidth="1"/>
    <col min="11011" max="11011" width="14.7109375" style="102" customWidth="1"/>
    <col min="11012" max="11012" width="9.140625" style="102" customWidth="1"/>
    <col min="11013" max="11013" width="0" style="102" hidden="1" customWidth="1"/>
    <col min="11014" max="11014" width="9.140625" style="102" customWidth="1"/>
    <col min="11015" max="11015" width="13.85546875" style="102" customWidth="1"/>
    <col min="11016" max="11016" width="9.140625" style="102" customWidth="1"/>
    <col min="11017" max="11017" width="20.7109375" style="102" customWidth="1"/>
    <col min="11018" max="11018" width="0" style="102" hidden="1" customWidth="1"/>
    <col min="11019" max="11019" width="9.140625" style="102" customWidth="1"/>
    <col min="11020" max="11020" width="17.85546875" style="102" customWidth="1"/>
    <col min="11021" max="11021" width="15.42578125" style="102" customWidth="1"/>
    <col min="11022" max="11075" width="9.140625" style="102" customWidth="1"/>
    <col min="11076" max="11076" width="36" style="102" customWidth="1"/>
    <col min="11077" max="11264" width="9.140625" style="102"/>
    <col min="11265" max="11266" width="0" style="102" hidden="1" customWidth="1"/>
    <col min="11267" max="11267" width="14.7109375" style="102" customWidth="1"/>
    <col min="11268" max="11268" width="9.140625" style="102" customWidth="1"/>
    <col min="11269" max="11269" width="0" style="102" hidden="1" customWidth="1"/>
    <col min="11270" max="11270" width="9.140625" style="102" customWidth="1"/>
    <col min="11271" max="11271" width="13.85546875" style="102" customWidth="1"/>
    <col min="11272" max="11272" width="9.140625" style="102" customWidth="1"/>
    <col min="11273" max="11273" width="20.7109375" style="102" customWidth="1"/>
    <col min="11274" max="11274" width="0" style="102" hidden="1" customWidth="1"/>
    <col min="11275" max="11275" width="9.140625" style="102" customWidth="1"/>
    <col min="11276" max="11276" width="17.85546875" style="102" customWidth="1"/>
    <col min="11277" max="11277" width="15.42578125" style="102" customWidth="1"/>
    <col min="11278" max="11331" width="9.140625" style="102" customWidth="1"/>
    <col min="11332" max="11332" width="36" style="102" customWidth="1"/>
    <col min="11333" max="11520" width="9.140625" style="102"/>
    <col min="11521" max="11522" width="0" style="102" hidden="1" customWidth="1"/>
    <col min="11523" max="11523" width="14.7109375" style="102" customWidth="1"/>
    <col min="11524" max="11524" width="9.140625" style="102" customWidth="1"/>
    <col min="11525" max="11525" width="0" style="102" hidden="1" customWidth="1"/>
    <col min="11526" max="11526" width="9.140625" style="102" customWidth="1"/>
    <col min="11527" max="11527" width="13.85546875" style="102" customWidth="1"/>
    <col min="11528" max="11528" width="9.140625" style="102" customWidth="1"/>
    <col min="11529" max="11529" width="20.7109375" style="102" customWidth="1"/>
    <col min="11530" max="11530" width="0" style="102" hidden="1" customWidth="1"/>
    <col min="11531" max="11531" width="9.140625" style="102" customWidth="1"/>
    <col min="11532" max="11532" width="17.85546875" style="102" customWidth="1"/>
    <col min="11533" max="11533" width="15.42578125" style="102" customWidth="1"/>
    <col min="11534" max="11587" width="9.140625" style="102" customWidth="1"/>
    <col min="11588" max="11588" width="36" style="102" customWidth="1"/>
    <col min="11589" max="11776" width="9.140625" style="102"/>
    <col min="11777" max="11778" width="0" style="102" hidden="1" customWidth="1"/>
    <col min="11779" max="11779" width="14.7109375" style="102" customWidth="1"/>
    <col min="11780" max="11780" width="9.140625" style="102" customWidth="1"/>
    <col min="11781" max="11781" width="0" style="102" hidden="1" customWidth="1"/>
    <col min="11782" max="11782" width="9.140625" style="102" customWidth="1"/>
    <col min="11783" max="11783" width="13.85546875" style="102" customWidth="1"/>
    <col min="11784" max="11784" width="9.140625" style="102" customWidth="1"/>
    <col min="11785" max="11785" width="20.7109375" style="102" customWidth="1"/>
    <col min="11786" max="11786" width="0" style="102" hidden="1" customWidth="1"/>
    <col min="11787" max="11787" width="9.140625" style="102" customWidth="1"/>
    <col min="11788" max="11788" width="17.85546875" style="102" customWidth="1"/>
    <col min="11789" max="11789" width="15.42578125" style="102" customWidth="1"/>
    <col min="11790" max="11843" width="9.140625" style="102" customWidth="1"/>
    <col min="11844" max="11844" width="36" style="102" customWidth="1"/>
    <col min="11845" max="12032" width="9.140625" style="102"/>
    <col min="12033" max="12034" width="0" style="102" hidden="1" customWidth="1"/>
    <col min="12035" max="12035" width="14.7109375" style="102" customWidth="1"/>
    <col min="12036" max="12036" width="9.140625" style="102" customWidth="1"/>
    <col min="12037" max="12037" width="0" style="102" hidden="1" customWidth="1"/>
    <col min="12038" max="12038" width="9.140625" style="102" customWidth="1"/>
    <col min="12039" max="12039" width="13.85546875" style="102" customWidth="1"/>
    <col min="12040" max="12040" width="9.140625" style="102" customWidth="1"/>
    <col min="12041" max="12041" width="20.7109375" style="102" customWidth="1"/>
    <col min="12042" max="12042" width="0" style="102" hidden="1" customWidth="1"/>
    <col min="12043" max="12043" width="9.140625" style="102" customWidth="1"/>
    <col min="12044" max="12044" width="17.85546875" style="102" customWidth="1"/>
    <col min="12045" max="12045" width="15.42578125" style="102" customWidth="1"/>
    <col min="12046" max="12099" width="9.140625" style="102" customWidth="1"/>
    <col min="12100" max="12100" width="36" style="102" customWidth="1"/>
    <col min="12101" max="12288" width="9.140625" style="102"/>
    <col min="12289" max="12290" width="0" style="102" hidden="1" customWidth="1"/>
    <col min="12291" max="12291" width="14.7109375" style="102" customWidth="1"/>
    <col min="12292" max="12292" width="9.140625" style="102" customWidth="1"/>
    <col min="12293" max="12293" width="0" style="102" hidden="1" customWidth="1"/>
    <col min="12294" max="12294" width="9.140625" style="102" customWidth="1"/>
    <col min="12295" max="12295" width="13.85546875" style="102" customWidth="1"/>
    <col min="12296" max="12296" width="9.140625" style="102" customWidth="1"/>
    <col min="12297" max="12297" width="20.7109375" style="102" customWidth="1"/>
    <col min="12298" max="12298" width="0" style="102" hidden="1" customWidth="1"/>
    <col min="12299" max="12299" width="9.140625" style="102" customWidth="1"/>
    <col min="12300" max="12300" width="17.85546875" style="102" customWidth="1"/>
    <col min="12301" max="12301" width="15.42578125" style="102" customWidth="1"/>
    <col min="12302" max="12355" width="9.140625" style="102" customWidth="1"/>
    <col min="12356" max="12356" width="36" style="102" customWidth="1"/>
    <col min="12357" max="12544" width="9.140625" style="102"/>
    <col min="12545" max="12546" width="0" style="102" hidden="1" customWidth="1"/>
    <col min="12547" max="12547" width="14.7109375" style="102" customWidth="1"/>
    <col min="12548" max="12548" width="9.140625" style="102" customWidth="1"/>
    <col min="12549" max="12549" width="0" style="102" hidden="1" customWidth="1"/>
    <col min="12550" max="12550" width="9.140625" style="102" customWidth="1"/>
    <col min="12551" max="12551" width="13.85546875" style="102" customWidth="1"/>
    <col min="12552" max="12552" width="9.140625" style="102" customWidth="1"/>
    <col min="12553" max="12553" width="20.7109375" style="102" customWidth="1"/>
    <col min="12554" max="12554" width="0" style="102" hidden="1" customWidth="1"/>
    <col min="12555" max="12555" width="9.140625" style="102" customWidth="1"/>
    <col min="12556" max="12556" width="17.85546875" style="102" customWidth="1"/>
    <col min="12557" max="12557" width="15.42578125" style="102" customWidth="1"/>
    <col min="12558" max="12611" width="9.140625" style="102" customWidth="1"/>
    <col min="12612" max="12612" width="36" style="102" customWidth="1"/>
    <col min="12613" max="12800" width="9.140625" style="102"/>
    <col min="12801" max="12802" width="0" style="102" hidden="1" customWidth="1"/>
    <col min="12803" max="12803" width="14.7109375" style="102" customWidth="1"/>
    <col min="12804" max="12804" width="9.140625" style="102" customWidth="1"/>
    <col min="12805" max="12805" width="0" style="102" hidden="1" customWidth="1"/>
    <col min="12806" max="12806" width="9.140625" style="102" customWidth="1"/>
    <col min="12807" max="12807" width="13.85546875" style="102" customWidth="1"/>
    <col min="12808" max="12808" width="9.140625" style="102" customWidth="1"/>
    <col min="12809" max="12809" width="20.7109375" style="102" customWidth="1"/>
    <col min="12810" max="12810" width="0" style="102" hidden="1" customWidth="1"/>
    <col min="12811" max="12811" width="9.140625" style="102" customWidth="1"/>
    <col min="12812" max="12812" width="17.85546875" style="102" customWidth="1"/>
    <col min="12813" max="12813" width="15.42578125" style="102" customWidth="1"/>
    <col min="12814" max="12867" width="9.140625" style="102" customWidth="1"/>
    <col min="12868" max="12868" width="36" style="102" customWidth="1"/>
    <col min="12869" max="13056" width="9.140625" style="102"/>
    <col min="13057" max="13058" width="0" style="102" hidden="1" customWidth="1"/>
    <col min="13059" max="13059" width="14.7109375" style="102" customWidth="1"/>
    <col min="13060" max="13060" width="9.140625" style="102" customWidth="1"/>
    <col min="13061" max="13061" width="0" style="102" hidden="1" customWidth="1"/>
    <col min="13062" max="13062" width="9.140625" style="102" customWidth="1"/>
    <col min="13063" max="13063" width="13.85546875" style="102" customWidth="1"/>
    <col min="13064" max="13064" width="9.140625" style="102" customWidth="1"/>
    <col min="13065" max="13065" width="20.7109375" style="102" customWidth="1"/>
    <col min="13066" max="13066" width="0" style="102" hidden="1" customWidth="1"/>
    <col min="13067" max="13067" width="9.140625" style="102" customWidth="1"/>
    <col min="13068" max="13068" width="17.85546875" style="102" customWidth="1"/>
    <col min="13069" max="13069" width="15.42578125" style="102" customWidth="1"/>
    <col min="13070" max="13123" width="9.140625" style="102" customWidth="1"/>
    <col min="13124" max="13124" width="36" style="102" customWidth="1"/>
    <col min="13125" max="13312" width="9.140625" style="102"/>
    <col min="13313" max="13314" width="0" style="102" hidden="1" customWidth="1"/>
    <col min="13315" max="13315" width="14.7109375" style="102" customWidth="1"/>
    <col min="13316" max="13316" width="9.140625" style="102" customWidth="1"/>
    <col min="13317" max="13317" width="0" style="102" hidden="1" customWidth="1"/>
    <col min="13318" max="13318" width="9.140625" style="102" customWidth="1"/>
    <col min="13319" max="13319" width="13.85546875" style="102" customWidth="1"/>
    <col min="13320" max="13320" width="9.140625" style="102" customWidth="1"/>
    <col min="13321" max="13321" width="20.7109375" style="102" customWidth="1"/>
    <col min="13322" max="13322" width="0" style="102" hidden="1" customWidth="1"/>
    <col min="13323" max="13323" width="9.140625" style="102" customWidth="1"/>
    <col min="13324" max="13324" width="17.85546875" style="102" customWidth="1"/>
    <col min="13325" max="13325" width="15.42578125" style="102" customWidth="1"/>
    <col min="13326" max="13379" width="9.140625" style="102" customWidth="1"/>
    <col min="13380" max="13380" width="36" style="102" customWidth="1"/>
    <col min="13381" max="13568" width="9.140625" style="102"/>
    <col min="13569" max="13570" width="0" style="102" hidden="1" customWidth="1"/>
    <col min="13571" max="13571" width="14.7109375" style="102" customWidth="1"/>
    <col min="13572" max="13572" width="9.140625" style="102" customWidth="1"/>
    <col min="13573" max="13573" width="0" style="102" hidden="1" customWidth="1"/>
    <col min="13574" max="13574" width="9.140625" style="102" customWidth="1"/>
    <col min="13575" max="13575" width="13.85546875" style="102" customWidth="1"/>
    <col min="13576" max="13576" width="9.140625" style="102" customWidth="1"/>
    <col min="13577" max="13577" width="20.7109375" style="102" customWidth="1"/>
    <col min="13578" max="13578" width="0" style="102" hidden="1" customWidth="1"/>
    <col min="13579" max="13579" width="9.140625" style="102" customWidth="1"/>
    <col min="13580" max="13580" width="17.85546875" style="102" customWidth="1"/>
    <col min="13581" max="13581" width="15.42578125" style="102" customWidth="1"/>
    <col min="13582" max="13635" width="9.140625" style="102" customWidth="1"/>
    <col min="13636" max="13636" width="36" style="102" customWidth="1"/>
    <col min="13637" max="13824" width="9.140625" style="102"/>
    <col min="13825" max="13826" width="0" style="102" hidden="1" customWidth="1"/>
    <col min="13827" max="13827" width="14.7109375" style="102" customWidth="1"/>
    <col min="13828" max="13828" width="9.140625" style="102" customWidth="1"/>
    <col min="13829" max="13829" width="0" style="102" hidden="1" customWidth="1"/>
    <col min="13830" max="13830" width="9.140625" style="102" customWidth="1"/>
    <col min="13831" max="13831" width="13.85546875" style="102" customWidth="1"/>
    <col min="13832" max="13832" width="9.140625" style="102" customWidth="1"/>
    <col min="13833" max="13833" width="20.7109375" style="102" customWidth="1"/>
    <col min="13834" max="13834" width="0" style="102" hidden="1" customWidth="1"/>
    <col min="13835" max="13835" width="9.140625" style="102" customWidth="1"/>
    <col min="13836" max="13836" width="17.85546875" style="102" customWidth="1"/>
    <col min="13837" max="13837" width="15.42578125" style="102" customWidth="1"/>
    <col min="13838" max="13891" width="9.140625" style="102" customWidth="1"/>
    <col min="13892" max="13892" width="36" style="102" customWidth="1"/>
    <col min="13893" max="14080" width="9.140625" style="102"/>
    <col min="14081" max="14082" width="0" style="102" hidden="1" customWidth="1"/>
    <col min="14083" max="14083" width="14.7109375" style="102" customWidth="1"/>
    <col min="14084" max="14084" width="9.140625" style="102" customWidth="1"/>
    <col min="14085" max="14085" width="0" style="102" hidden="1" customWidth="1"/>
    <col min="14086" max="14086" width="9.140625" style="102" customWidth="1"/>
    <col min="14087" max="14087" width="13.85546875" style="102" customWidth="1"/>
    <col min="14088" max="14088" width="9.140625" style="102" customWidth="1"/>
    <col min="14089" max="14089" width="20.7109375" style="102" customWidth="1"/>
    <col min="14090" max="14090" width="0" style="102" hidden="1" customWidth="1"/>
    <col min="14091" max="14091" width="9.140625" style="102" customWidth="1"/>
    <col min="14092" max="14092" width="17.85546875" style="102" customWidth="1"/>
    <col min="14093" max="14093" width="15.42578125" style="102" customWidth="1"/>
    <col min="14094" max="14147" width="9.140625" style="102" customWidth="1"/>
    <col min="14148" max="14148" width="36" style="102" customWidth="1"/>
    <col min="14149" max="14336" width="9.140625" style="102"/>
    <col min="14337" max="14338" width="0" style="102" hidden="1" customWidth="1"/>
    <col min="14339" max="14339" width="14.7109375" style="102" customWidth="1"/>
    <col min="14340" max="14340" width="9.140625" style="102" customWidth="1"/>
    <col min="14341" max="14341" width="0" style="102" hidden="1" customWidth="1"/>
    <col min="14342" max="14342" width="9.140625" style="102" customWidth="1"/>
    <col min="14343" max="14343" width="13.85546875" style="102" customWidth="1"/>
    <col min="14344" max="14344" width="9.140625" style="102" customWidth="1"/>
    <col min="14345" max="14345" width="20.7109375" style="102" customWidth="1"/>
    <col min="14346" max="14346" width="0" style="102" hidden="1" customWidth="1"/>
    <col min="14347" max="14347" width="9.140625" style="102" customWidth="1"/>
    <col min="14348" max="14348" width="17.85546875" style="102" customWidth="1"/>
    <col min="14349" max="14349" width="15.42578125" style="102" customWidth="1"/>
    <col min="14350" max="14403" width="9.140625" style="102" customWidth="1"/>
    <col min="14404" max="14404" width="36" style="102" customWidth="1"/>
    <col min="14405" max="14592" width="9.140625" style="102"/>
    <col min="14593" max="14594" width="0" style="102" hidden="1" customWidth="1"/>
    <col min="14595" max="14595" width="14.7109375" style="102" customWidth="1"/>
    <col min="14596" max="14596" width="9.140625" style="102" customWidth="1"/>
    <col min="14597" max="14597" width="0" style="102" hidden="1" customWidth="1"/>
    <col min="14598" max="14598" width="9.140625" style="102" customWidth="1"/>
    <col min="14599" max="14599" width="13.85546875" style="102" customWidth="1"/>
    <col min="14600" max="14600" width="9.140625" style="102" customWidth="1"/>
    <col min="14601" max="14601" width="20.7109375" style="102" customWidth="1"/>
    <col min="14602" max="14602" width="0" style="102" hidden="1" customWidth="1"/>
    <col min="14603" max="14603" width="9.140625" style="102" customWidth="1"/>
    <col min="14604" max="14604" width="17.85546875" style="102" customWidth="1"/>
    <col min="14605" max="14605" width="15.42578125" style="102" customWidth="1"/>
    <col min="14606" max="14659" width="9.140625" style="102" customWidth="1"/>
    <col min="14660" max="14660" width="36" style="102" customWidth="1"/>
    <col min="14661" max="14848" width="9.140625" style="102"/>
    <col min="14849" max="14850" width="0" style="102" hidden="1" customWidth="1"/>
    <col min="14851" max="14851" width="14.7109375" style="102" customWidth="1"/>
    <col min="14852" max="14852" width="9.140625" style="102" customWidth="1"/>
    <col min="14853" max="14853" width="0" style="102" hidden="1" customWidth="1"/>
    <col min="14854" max="14854" width="9.140625" style="102" customWidth="1"/>
    <col min="14855" max="14855" width="13.85546875" style="102" customWidth="1"/>
    <col min="14856" max="14856" width="9.140625" style="102" customWidth="1"/>
    <col min="14857" max="14857" width="20.7109375" style="102" customWidth="1"/>
    <col min="14858" max="14858" width="0" style="102" hidden="1" customWidth="1"/>
    <col min="14859" max="14859" width="9.140625" style="102" customWidth="1"/>
    <col min="14860" max="14860" width="17.85546875" style="102" customWidth="1"/>
    <col min="14861" max="14861" width="15.42578125" style="102" customWidth="1"/>
    <col min="14862" max="14915" width="9.140625" style="102" customWidth="1"/>
    <col min="14916" max="14916" width="36" style="102" customWidth="1"/>
    <col min="14917" max="15104" width="9.140625" style="102"/>
    <col min="15105" max="15106" width="0" style="102" hidden="1" customWidth="1"/>
    <col min="15107" max="15107" width="14.7109375" style="102" customWidth="1"/>
    <col min="15108" max="15108" width="9.140625" style="102" customWidth="1"/>
    <col min="15109" max="15109" width="0" style="102" hidden="1" customWidth="1"/>
    <col min="15110" max="15110" width="9.140625" style="102" customWidth="1"/>
    <col min="15111" max="15111" width="13.85546875" style="102" customWidth="1"/>
    <col min="15112" max="15112" width="9.140625" style="102" customWidth="1"/>
    <col min="15113" max="15113" width="20.7109375" style="102" customWidth="1"/>
    <col min="15114" max="15114" width="0" style="102" hidden="1" customWidth="1"/>
    <col min="15115" max="15115" width="9.140625" style="102" customWidth="1"/>
    <col min="15116" max="15116" width="17.85546875" style="102" customWidth="1"/>
    <col min="15117" max="15117" width="15.42578125" style="102" customWidth="1"/>
    <col min="15118" max="15171" width="9.140625" style="102" customWidth="1"/>
    <col min="15172" max="15172" width="36" style="102" customWidth="1"/>
    <col min="15173" max="15360" width="9.140625" style="102"/>
    <col min="15361" max="15362" width="0" style="102" hidden="1" customWidth="1"/>
    <col min="15363" max="15363" width="14.7109375" style="102" customWidth="1"/>
    <col min="15364" max="15364" width="9.140625" style="102" customWidth="1"/>
    <col min="15365" max="15365" width="0" style="102" hidden="1" customWidth="1"/>
    <col min="15366" max="15366" width="9.140625" style="102" customWidth="1"/>
    <col min="15367" max="15367" width="13.85546875" style="102" customWidth="1"/>
    <col min="15368" max="15368" width="9.140625" style="102" customWidth="1"/>
    <col min="15369" max="15369" width="20.7109375" style="102" customWidth="1"/>
    <col min="15370" max="15370" width="0" style="102" hidden="1" customWidth="1"/>
    <col min="15371" max="15371" width="9.140625" style="102" customWidth="1"/>
    <col min="15372" max="15372" width="17.85546875" style="102" customWidth="1"/>
    <col min="15373" max="15373" width="15.42578125" style="102" customWidth="1"/>
    <col min="15374" max="15427" width="9.140625" style="102" customWidth="1"/>
    <col min="15428" max="15428" width="36" style="102" customWidth="1"/>
    <col min="15429" max="15616" width="9.140625" style="102"/>
    <col min="15617" max="15618" width="0" style="102" hidden="1" customWidth="1"/>
    <col min="15619" max="15619" width="14.7109375" style="102" customWidth="1"/>
    <col min="15620" max="15620" width="9.140625" style="102" customWidth="1"/>
    <col min="15621" max="15621" width="0" style="102" hidden="1" customWidth="1"/>
    <col min="15622" max="15622" width="9.140625" style="102" customWidth="1"/>
    <col min="15623" max="15623" width="13.85546875" style="102" customWidth="1"/>
    <col min="15624" max="15624" width="9.140625" style="102" customWidth="1"/>
    <col min="15625" max="15625" width="20.7109375" style="102" customWidth="1"/>
    <col min="15626" max="15626" width="0" style="102" hidden="1" customWidth="1"/>
    <col min="15627" max="15627" width="9.140625" style="102" customWidth="1"/>
    <col min="15628" max="15628" width="17.85546875" style="102" customWidth="1"/>
    <col min="15629" max="15629" width="15.42578125" style="102" customWidth="1"/>
    <col min="15630" max="15683" width="9.140625" style="102" customWidth="1"/>
    <col min="15684" max="15684" width="36" style="102" customWidth="1"/>
    <col min="15685" max="15872" width="9.140625" style="102"/>
    <col min="15873" max="15874" width="0" style="102" hidden="1" customWidth="1"/>
    <col min="15875" max="15875" width="14.7109375" style="102" customWidth="1"/>
    <col min="15876" max="15876" width="9.140625" style="102" customWidth="1"/>
    <col min="15877" max="15877" width="0" style="102" hidden="1" customWidth="1"/>
    <col min="15878" max="15878" width="9.140625" style="102" customWidth="1"/>
    <col min="15879" max="15879" width="13.85546875" style="102" customWidth="1"/>
    <col min="15880" max="15880" width="9.140625" style="102" customWidth="1"/>
    <col min="15881" max="15881" width="20.7109375" style="102" customWidth="1"/>
    <col min="15882" max="15882" width="0" style="102" hidden="1" customWidth="1"/>
    <col min="15883" max="15883" width="9.140625" style="102" customWidth="1"/>
    <col min="15884" max="15884" width="17.85546875" style="102" customWidth="1"/>
    <col min="15885" max="15885" width="15.42578125" style="102" customWidth="1"/>
    <col min="15886" max="15939" width="9.140625" style="102" customWidth="1"/>
    <col min="15940" max="15940" width="36" style="102" customWidth="1"/>
    <col min="15941" max="16128" width="9.140625" style="102"/>
    <col min="16129" max="16130" width="0" style="102" hidden="1" customWidth="1"/>
    <col min="16131" max="16131" width="14.7109375" style="102" customWidth="1"/>
    <col min="16132" max="16132" width="9.140625" style="102" customWidth="1"/>
    <col min="16133" max="16133" width="0" style="102" hidden="1" customWidth="1"/>
    <col min="16134" max="16134" width="9.140625" style="102" customWidth="1"/>
    <col min="16135" max="16135" width="13.85546875" style="102" customWidth="1"/>
    <col min="16136" max="16136" width="9.140625" style="102" customWidth="1"/>
    <col min="16137" max="16137" width="20.7109375" style="102" customWidth="1"/>
    <col min="16138" max="16138" width="0" style="102" hidden="1" customWidth="1"/>
    <col min="16139" max="16139" width="9.140625" style="102" customWidth="1"/>
    <col min="16140" max="16140" width="17.85546875" style="102" customWidth="1"/>
    <col min="16141" max="16141" width="15.42578125" style="102" customWidth="1"/>
    <col min="16142" max="16195" width="9.140625" style="102" customWidth="1"/>
    <col min="16196" max="16196" width="36" style="102" customWidth="1"/>
    <col min="16197" max="16384" width="9.140625" style="102"/>
  </cols>
  <sheetData>
    <row r="1" spans="1:78" ht="13.5" thickBot="1">
      <c r="A1" s="102" t="s">
        <v>99</v>
      </c>
      <c r="B1" s="103" t="s">
        <v>90</v>
      </c>
      <c r="C1" s="104" t="s">
        <v>100</v>
      </c>
      <c r="D1" s="105" t="s">
        <v>101</v>
      </c>
      <c r="E1" s="106" t="s">
        <v>102</v>
      </c>
      <c r="F1" s="105" t="s">
        <v>103</v>
      </c>
      <c r="G1" s="107" t="s">
        <v>104</v>
      </c>
      <c r="H1" s="108" t="s">
        <v>105</v>
      </c>
      <c r="I1" s="108" t="s">
        <v>106</v>
      </c>
      <c r="J1" s="108" t="s">
        <v>107</v>
      </c>
      <c r="K1" s="108" t="s">
        <v>108</v>
      </c>
      <c r="L1" s="108" t="s">
        <v>109</v>
      </c>
      <c r="M1" s="105" t="s">
        <v>110</v>
      </c>
      <c r="N1" s="109" t="s">
        <v>85</v>
      </c>
      <c r="O1" s="1029" t="s">
        <v>29</v>
      </c>
      <c r="P1" s="1030"/>
      <c r="Q1" s="1030"/>
      <c r="R1" s="1030"/>
      <c r="S1" s="1031"/>
      <c r="T1" s="1029" t="s">
        <v>30</v>
      </c>
      <c r="U1" s="1030"/>
      <c r="V1" s="1030"/>
      <c r="W1" s="1031"/>
      <c r="X1" s="1029" t="s">
        <v>31</v>
      </c>
      <c r="Y1" s="1030"/>
      <c r="Z1" s="1030"/>
      <c r="AA1" s="1031"/>
      <c r="AB1" s="1029" t="s">
        <v>32</v>
      </c>
      <c r="AC1" s="1030"/>
      <c r="AD1" s="1030"/>
      <c r="AE1" s="1030"/>
      <c r="AF1" s="1031"/>
      <c r="AG1" s="1029" t="s">
        <v>33</v>
      </c>
      <c r="AH1" s="1030"/>
      <c r="AI1" s="1030"/>
      <c r="AJ1" s="1031"/>
      <c r="AK1" s="1029" t="s">
        <v>34</v>
      </c>
      <c r="AL1" s="1030"/>
      <c r="AM1" s="1030"/>
      <c r="AN1" s="1031"/>
      <c r="AO1" s="1029" t="s">
        <v>35</v>
      </c>
      <c r="AP1" s="1030"/>
      <c r="AQ1" s="1030"/>
      <c r="AR1" s="1030"/>
      <c r="AS1" s="1031"/>
      <c r="AT1" s="1029" t="s">
        <v>65</v>
      </c>
      <c r="AU1" s="1030"/>
      <c r="AV1" s="1030"/>
      <c r="AW1" s="1031"/>
      <c r="AX1" s="1029" t="s">
        <v>37</v>
      </c>
      <c r="AY1" s="1030"/>
      <c r="AZ1" s="1030"/>
      <c r="BA1" s="1031"/>
      <c r="BB1" s="1029" t="s">
        <v>38</v>
      </c>
      <c r="BC1" s="1030"/>
      <c r="BD1" s="1030"/>
      <c r="BE1" s="1030"/>
      <c r="BF1" s="1031"/>
      <c r="BG1" s="1029" t="s">
        <v>39</v>
      </c>
      <c r="BH1" s="1030"/>
      <c r="BI1" s="1030"/>
      <c r="BJ1" s="1031"/>
      <c r="BK1" s="1029" t="s">
        <v>40</v>
      </c>
      <c r="BL1" s="1030"/>
      <c r="BM1" s="1030"/>
      <c r="BN1" s="1030"/>
      <c r="BO1" s="1031"/>
      <c r="BP1" s="108" t="s">
        <v>111</v>
      </c>
      <c r="BQ1" s="108" t="s">
        <v>112</v>
      </c>
      <c r="BR1" s="108" t="s">
        <v>113</v>
      </c>
      <c r="BS1" s="108" t="s">
        <v>114</v>
      </c>
      <c r="BT1" s="108" t="s">
        <v>115</v>
      </c>
      <c r="BU1" s="108" t="s">
        <v>116</v>
      </c>
      <c r="BV1" s="108" t="s">
        <v>117</v>
      </c>
      <c r="BW1" s="108" t="s">
        <v>118</v>
      </c>
      <c r="BX1" s="108" t="s">
        <v>119</v>
      </c>
      <c r="BY1" s="108" t="s">
        <v>120</v>
      </c>
      <c r="BZ1" s="108" t="s">
        <v>121</v>
      </c>
    </row>
    <row r="2" spans="1:78">
      <c r="A2" s="103" t="s">
        <v>99</v>
      </c>
      <c r="B2" s="103" t="s">
        <v>90</v>
      </c>
      <c r="C2" s="104" t="s">
        <v>100</v>
      </c>
      <c r="D2" s="105" t="s">
        <v>101</v>
      </c>
      <c r="E2" s="105" t="s">
        <v>102</v>
      </c>
      <c r="F2" s="105" t="s">
        <v>103</v>
      </c>
      <c r="G2" s="105" t="s">
        <v>104</v>
      </c>
      <c r="H2" s="110" t="s">
        <v>105</v>
      </c>
      <c r="I2" s="110" t="s">
        <v>106</v>
      </c>
      <c r="J2" s="110" t="s">
        <v>107</v>
      </c>
      <c r="K2" s="110" t="s">
        <v>108</v>
      </c>
      <c r="L2" s="110" t="s">
        <v>109</v>
      </c>
      <c r="M2" s="111" t="s">
        <v>110</v>
      </c>
      <c r="N2" s="109" t="s">
        <v>85</v>
      </c>
      <c r="O2" s="112" t="s">
        <v>122</v>
      </c>
      <c r="P2" s="113" t="s">
        <v>123</v>
      </c>
      <c r="Q2" s="113" t="s">
        <v>124</v>
      </c>
      <c r="R2" s="113" t="s">
        <v>125</v>
      </c>
      <c r="S2" s="114" t="s">
        <v>126</v>
      </c>
      <c r="T2" s="112" t="s">
        <v>127</v>
      </c>
      <c r="U2" s="113" t="s">
        <v>128</v>
      </c>
      <c r="V2" s="113" t="s">
        <v>129</v>
      </c>
      <c r="W2" s="114" t="s">
        <v>130</v>
      </c>
      <c r="X2" s="112" t="s">
        <v>131</v>
      </c>
      <c r="Y2" s="113" t="s">
        <v>132</v>
      </c>
      <c r="Z2" s="113" t="s">
        <v>133</v>
      </c>
      <c r="AA2" s="114" t="s">
        <v>134</v>
      </c>
      <c r="AB2" s="112" t="s">
        <v>135</v>
      </c>
      <c r="AC2" s="113" t="s">
        <v>136</v>
      </c>
      <c r="AD2" s="113" t="s">
        <v>137</v>
      </c>
      <c r="AE2" s="113" t="s">
        <v>138</v>
      </c>
      <c r="AF2" s="114" t="s">
        <v>139</v>
      </c>
      <c r="AG2" s="115" t="s">
        <v>140</v>
      </c>
      <c r="AH2" s="116" t="s">
        <v>141</v>
      </c>
      <c r="AI2" s="116" t="s">
        <v>142</v>
      </c>
      <c r="AJ2" s="117" t="s">
        <v>143</v>
      </c>
      <c r="AK2" s="112" t="s">
        <v>144</v>
      </c>
      <c r="AL2" s="118" t="s">
        <v>145</v>
      </c>
      <c r="AM2" s="118" t="s">
        <v>146</v>
      </c>
      <c r="AN2" s="119" t="s">
        <v>147</v>
      </c>
      <c r="AO2" s="112" t="s">
        <v>148</v>
      </c>
      <c r="AP2" s="118" t="s">
        <v>149</v>
      </c>
      <c r="AQ2" s="118" t="s">
        <v>150</v>
      </c>
      <c r="AR2" s="118" t="s">
        <v>151</v>
      </c>
      <c r="AS2" s="119" t="s">
        <v>152</v>
      </c>
      <c r="AT2" s="112" t="s">
        <v>153</v>
      </c>
      <c r="AU2" s="118" t="s">
        <v>154</v>
      </c>
      <c r="AV2" s="118" t="s">
        <v>155</v>
      </c>
      <c r="AW2" s="119" t="s">
        <v>156</v>
      </c>
      <c r="AX2" s="112" t="s">
        <v>157</v>
      </c>
      <c r="AY2" s="118" t="s">
        <v>158</v>
      </c>
      <c r="AZ2" s="118" t="s">
        <v>159</v>
      </c>
      <c r="BA2" s="119" t="s">
        <v>160</v>
      </c>
      <c r="BB2" s="112" t="s">
        <v>161</v>
      </c>
      <c r="BC2" s="118" t="s">
        <v>162</v>
      </c>
      <c r="BD2" s="118" t="s">
        <v>163</v>
      </c>
      <c r="BE2" s="118" t="s">
        <v>164</v>
      </c>
      <c r="BF2" s="119" t="s">
        <v>165</v>
      </c>
      <c r="BG2" s="112" t="s">
        <v>166</v>
      </c>
      <c r="BH2" s="118" t="s">
        <v>167</v>
      </c>
      <c r="BI2" s="118" t="s">
        <v>168</v>
      </c>
      <c r="BJ2" s="119" t="s">
        <v>169</v>
      </c>
      <c r="BK2" s="112" t="s">
        <v>170</v>
      </c>
      <c r="BL2" s="118" t="s">
        <v>171</v>
      </c>
      <c r="BM2" s="118" t="s">
        <v>172</v>
      </c>
      <c r="BN2" s="118" t="s">
        <v>173</v>
      </c>
      <c r="BO2" s="119" t="s">
        <v>174</v>
      </c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</row>
    <row r="3" spans="1:78" s="121" customFormat="1" outlineLevel="2">
      <c r="B3" s="121" t="s">
        <v>175</v>
      </c>
      <c r="C3" s="121" t="s">
        <v>176</v>
      </c>
      <c r="D3" s="121" t="s">
        <v>177</v>
      </c>
      <c r="F3" s="107" t="s">
        <v>178</v>
      </c>
      <c r="H3" s="122" t="s">
        <v>179</v>
      </c>
      <c r="I3" s="123" t="s">
        <v>180</v>
      </c>
      <c r="J3" s="124"/>
      <c r="K3" s="124" t="s">
        <v>181</v>
      </c>
      <c r="L3" s="124" t="s">
        <v>182</v>
      </c>
      <c r="M3" s="125" t="s">
        <v>183</v>
      </c>
      <c r="N3" s="126">
        <f t="shared" ref="N3:N9" si="0">SUM(O3:BO3)</f>
        <v>10000</v>
      </c>
      <c r="O3" s="127">
        <v>0</v>
      </c>
      <c r="P3" s="127"/>
      <c r="Q3" s="127"/>
      <c r="R3" s="127"/>
      <c r="S3" s="127"/>
      <c r="T3" s="127">
        <v>0</v>
      </c>
      <c r="U3" s="127"/>
      <c r="V3" s="127"/>
      <c r="W3" s="127"/>
      <c r="X3" s="127">
        <v>0</v>
      </c>
      <c r="Y3" s="127"/>
      <c r="Z3" s="127"/>
      <c r="AA3" s="127"/>
      <c r="AB3" s="127">
        <v>0</v>
      </c>
      <c r="AC3" s="127"/>
      <c r="AD3" s="127"/>
      <c r="AE3" s="127"/>
      <c r="AF3" s="127"/>
      <c r="AG3" s="127">
        <v>0</v>
      </c>
      <c r="AH3" s="127"/>
      <c r="AI3" s="127"/>
      <c r="AJ3" s="127"/>
      <c r="AK3" s="127">
        <v>0</v>
      </c>
      <c r="AL3" s="127"/>
      <c r="AM3" s="127"/>
      <c r="AN3" s="127"/>
      <c r="AO3" s="127">
        <v>0</v>
      </c>
      <c r="AP3" s="127"/>
      <c r="AQ3" s="127"/>
      <c r="AR3" s="127"/>
      <c r="AS3" s="127"/>
      <c r="AT3" s="127"/>
      <c r="AU3" s="127"/>
      <c r="AV3" s="127">
        <v>2000</v>
      </c>
      <c r="AW3" s="127">
        <v>2000</v>
      </c>
      <c r="AX3" s="127">
        <v>2000</v>
      </c>
      <c r="AY3" s="127">
        <v>2000</v>
      </c>
      <c r="AZ3" s="127">
        <v>2000</v>
      </c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 t="s">
        <v>184</v>
      </c>
      <c r="BQ3" s="127" t="s">
        <v>185</v>
      </c>
      <c r="BR3" s="127" t="s">
        <v>186</v>
      </c>
      <c r="BS3" s="127" t="s">
        <v>187</v>
      </c>
      <c r="BT3" s="127" t="s">
        <v>188</v>
      </c>
      <c r="BU3" s="127" t="s">
        <v>189</v>
      </c>
      <c r="BV3" s="127" t="s">
        <v>190</v>
      </c>
      <c r="BW3" s="127" t="s">
        <v>191</v>
      </c>
      <c r="BX3" s="127" t="s">
        <v>192</v>
      </c>
      <c r="BY3" s="127" t="s">
        <v>193</v>
      </c>
      <c r="BZ3" s="128" t="s">
        <v>194</v>
      </c>
    </row>
    <row r="4" spans="1:78" s="121" customFormat="1" outlineLevel="2">
      <c r="B4" s="121" t="s">
        <v>175</v>
      </c>
      <c r="C4" s="121" t="s">
        <v>176</v>
      </c>
      <c r="D4" s="121" t="s">
        <v>195</v>
      </c>
      <c r="F4" s="107" t="s">
        <v>178</v>
      </c>
      <c r="H4" s="122" t="s">
        <v>179</v>
      </c>
      <c r="I4" s="123" t="s">
        <v>196</v>
      </c>
      <c r="J4" s="124"/>
      <c r="K4" s="124" t="s">
        <v>197</v>
      </c>
      <c r="L4" s="124" t="s">
        <v>182</v>
      </c>
      <c r="M4" s="125" t="s">
        <v>183</v>
      </c>
      <c r="N4" s="126">
        <f t="shared" si="0"/>
        <v>1200</v>
      </c>
      <c r="O4" s="127">
        <v>0</v>
      </c>
      <c r="P4" s="127"/>
      <c r="Q4" s="127"/>
      <c r="R4" s="127"/>
      <c r="S4" s="127"/>
      <c r="T4" s="127">
        <v>0</v>
      </c>
      <c r="U4" s="127"/>
      <c r="V4" s="127"/>
      <c r="W4" s="127"/>
      <c r="X4" s="127">
        <v>0</v>
      </c>
      <c r="Y4" s="127"/>
      <c r="Z4" s="127"/>
      <c r="AA4" s="127"/>
      <c r="AB4" s="127">
        <v>0</v>
      </c>
      <c r="AC4" s="127"/>
      <c r="AD4" s="127"/>
      <c r="AE4" s="127"/>
      <c r="AF4" s="127"/>
      <c r="AG4" s="127">
        <v>0</v>
      </c>
      <c r="AH4" s="127"/>
      <c r="AI4" s="127"/>
      <c r="AJ4" s="127"/>
      <c r="AK4" s="127">
        <v>0</v>
      </c>
      <c r="AL4" s="127"/>
      <c r="AM4" s="127"/>
      <c r="AN4" s="127"/>
      <c r="AO4" s="127">
        <v>0</v>
      </c>
      <c r="AP4" s="127"/>
      <c r="AQ4" s="127"/>
      <c r="AR4" s="127"/>
      <c r="AS4" s="127"/>
      <c r="AT4" s="127">
        <v>1200</v>
      </c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 t="s">
        <v>184</v>
      </c>
      <c r="BQ4" s="127" t="s">
        <v>185</v>
      </c>
      <c r="BR4" s="127" t="s">
        <v>186</v>
      </c>
      <c r="BS4" s="127" t="s">
        <v>187</v>
      </c>
      <c r="BT4" s="127" t="s">
        <v>188</v>
      </c>
      <c r="BU4" s="127" t="s">
        <v>189</v>
      </c>
      <c r="BV4" s="127" t="s">
        <v>190</v>
      </c>
      <c r="BW4" s="127" t="s">
        <v>191</v>
      </c>
      <c r="BX4" s="127" t="s">
        <v>192</v>
      </c>
      <c r="BY4" s="127" t="s">
        <v>193</v>
      </c>
      <c r="BZ4" s="128" t="s">
        <v>194</v>
      </c>
    </row>
    <row r="5" spans="1:78" s="121" customFormat="1" outlineLevel="2">
      <c r="B5" s="121" t="s">
        <v>175</v>
      </c>
      <c r="C5" s="121" t="s">
        <v>176</v>
      </c>
      <c r="D5" s="129" t="s">
        <v>198</v>
      </c>
      <c r="F5" s="107" t="s">
        <v>178</v>
      </c>
      <c r="G5" s="107" t="s">
        <v>199</v>
      </c>
      <c r="H5" s="122" t="s">
        <v>200</v>
      </c>
      <c r="I5" s="124"/>
      <c r="J5" s="124"/>
      <c r="K5" s="124" t="s">
        <v>197</v>
      </c>
      <c r="L5" s="124" t="s">
        <v>182</v>
      </c>
      <c r="M5" s="125" t="s">
        <v>183</v>
      </c>
      <c r="N5" s="126">
        <f t="shared" si="0"/>
        <v>1200</v>
      </c>
      <c r="O5" s="127">
        <v>0</v>
      </c>
      <c r="P5" s="127"/>
      <c r="Q5" s="127"/>
      <c r="R5" s="127"/>
      <c r="S5" s="127"/>
      <c r="T5" s="127"/>
      <c r="U5" s="127"/>
      <c r="V5" s="127"/>
      <c r="W5" s="130">
        <v>1200</v>
      </c>
      <c r="X5" s="127"/>
      <c r="Y5" s="127"/>
      <c r="Z5" s="127"/>
      <c r="AA5" s="127"/>
      <c r="AB5" s="127">
        <v>0</v>
      </c>
      <c r="AC5" s="127"/>
      <c r="AD5" s="127"/>
      <c r="AE5" s="127"/>
      <c r="AF5" s="127"/>
      <c r="AG5" s="127">
        <v>0</v>
      </c>
      <c r="AH5" s="127"/>
      <c r="AI5" s="127"/>
      <c r="AJ5" s="127"/>
      <c r="AK5" s="127">
        <v>0</v>
      </c>
      <c r="AL5" s="127"/>
      <c r="AM5" s="127"/>
      <c r="AN5" s="127"/>
      <c r="AO5" s="127">
        <v>0</v>
      </c>
      <c r="AP5" s="127"/>
      <c r="AQ5" s="127"/>
      <c r="AR5" s="127"/>
      <c r="AS5" s="127"/>
      <c r="AT5" s="127">
        <v>0</v>
      </c>
      <c r="AU5" s="127"/>
      <c r="AV5" s="127"/>
      <c r="AW5" s="127"/>
      <c r="AX5" s="127">
        <v>0</v>
      </c>
      <c r="AY5" s="127"/>
      <c r="AZ5" s="127"/>
      <c r="BA5" s="127"/>
      <c r="BB5" s="127">
        <v>0</v>
      </c>
      <c r="BC5" s="127"/>
      <c r="BD5" s="127"/>
      <c r="BE5" s="127"/>
      <c r="BF5" s="127"/>
      <c r="BG5" s="127">
        <v>0</v>
      </c>
      <c r="BH5" s="127"/>
      <c r="BI5" s="127"/>
      <c r="BJ5" s="127"/>
      <c r="BK5" s="127">
        <v>0</v>
      </c>
      <c r="BL5" s="127"/>
      <c r="BM5" s="127"/>
      <c r="BN5" s="127"/>
      <c r="BO5" s="127"/>
      <c r="BP5" s="127" t="s">
        <v>201</v>
      </c>
      <c r="BQ5" s="127" t="s">
        <v>202</v>
      </c>
      <c r="BR5" s="127" t="s">
        <v>203</v>
      </c>
      <c r="BS5" s="127" t="s">
        <v>204</v>
      </c>
      <c r="BT5" s="127" t="s">
        <v>188</v>
      </c>
      <c r="BU5" s="127" t="s">
        <v>189</v>
      </c>
      <c r="BV5" s="127" t="s">
        <v>205</v>
      </c>
      <c r="BW5" s="127" t="s">
        <v>191</v>
      </c>
      <c r="BX5" s="127" t="s">
        <v>206</v>
      </c>
      <c r="BY5" s="127" t="s">
        <v>189</v>
      </c>
      <c r="BZ5" s="131" t="s">
        <v>207</v>
      </c>
    </row>
    <row r="6" spans="1:78" s="121" customFormat="1" outlineLevel="2">
      <c r="B6" s="121" t="s">
        <v>175</v>
      </c>
      <c r="C6" s="121" t="s">
        <v>176</v>
      </c>
      <c r="D6" s="129"/>
      <c r="F6" s="107" t="s">
        <v>89</v>
      </c>
      <c r="G6" s="107" t="s">
        <v>199</v>
      </c>
      <c r="H6" s="122" t="s">
        <v>200</v>
      </c>
      <c r="I6" s="124"/>
      <c r="J6" s="124"/>
      <c r="K6" s="124" t="s">
        <v>208</v>
      </c>
      <c r="L6" s="124" t="s">
        <v>182</v>
      </c>
      <c r="M6" s="125" t="s">
        <v>183</v>
      </c>
      <c r="N6" s="126">
        <f t="shared" si="0"/>
        <v>2200</v>
      </c>
      <c r="O6" s="127">
        <v>0</v>
      </c>
      <c r="P6" s="127"/>
      <c r="Q6" s="127"/>
      <c r="R6" s="127"/>
      <c r="S6" s="127"/>
      <c r="T6" s="127"/>
      <c r="U6" s="127"/>
      <c r="V6" s="127"/>
      <c r="W6" s="130">
        <v>2200</v>
      </c>
      <c r="X6" s="127"/>
      <c r="Y6" s="127"/>
      <c r="Z6" s="127"/>
      <c r="AA6" s="127"/>
      <c r="AB6" s="127">
        <v>0</v>
      </c>
      <c r="AC6" s="127"/>
      <c r="AD6" s="127"/>
      <c r="AE6" s="127"/>
      <c r="AF6" s="127"/>
      <c r="AG6" s="127">
        <v>0</v>
      </c>
      <c r="AH6" s="127"/>
      <c r="AI6" s="127"/>
      <c r="AJ6" s="127"/>
      <c r="AK6" s="127">
        <v>0</v>
      </c>
      <c r="AL6" s="127"/>
      <c r="AM6" s="127"/>
      <c r="AN6" s="127"/>
      <c r="AO6" s="127">
        <v>0</v>
      </c>
      <c r="AP6" s="127"/>
      <c r="AQ6" s="127"/>
      <c r="AR6" s="127"/>
      <c r="AS6" s="127"/>
      <c r="AT6" s="127">
        <v>0</v>
      </c>
      <c r="AU6" s="127"/>
      <c r="AV6" s="127"/>
      <c r="AW6" s="127"/>
      <c r="AX6" s="127">
        <v>0</v>
      </c>
      <c r="AY6" s="127"/>
      <c r="AZ6" s="127"/>
      <c r="BA6" s="127"/>
      <c r="BB6" s="127">
        <v>0</v>
      </c>
      <c r="BC6" s="127"/>
      <c r="BD6" s="127"/>
      <c r="BE6" s="127"/>
      <c r="BF6" s="127"/>
      <c r="BG6" s="127">
        <v>0</v>
      </c>
      <c r="BH6" s="127"/>
      <c r="BI6" s="127"/>
      <c r="BJ6" s="127"/>
      <c r="BK6" s="127">
        <v>0</v>
      </c>
      <c r="BL6" s="127"/>
      <c r="BM6" s="127"/>
      <c r="BN6" s="127"/>
      <c r="BO6" s="127"/>
      <c r="BP6" s="127" t="s">
        <v>201</v>
      </c>
      <c r="BQ6" s="127" t="s">
        <v>202</v>
      </c>
      <c r="BR6" s="127" t="s">
        <v>203</v>
      </c>
      <c r="BS6" s="127" t="s">
        <v>204</v>
      </c>
      <c r="BT6" s="127" t="s">
        <v>188</v>
      </c>
      <c r="BU6" s="127" t="s">
        <v>189</v>
      </c>
      <c r="BV6" s="127" t="s">
        <v>205</v>
      </c>
      <c r="BW6" s="127" t="s">
        <v>191</v>
      </c>
      <c r="BX6" s="127" t="s">
        <v>206</v>
      </c>
      <c r="BY6" s="127" t="s">
        <v>189</v>
      </c>
      <c r="BZ6" s="131" t="s">
        <v>207</v>
      </c>
    </row>
    <row r="7" spans="1:78" s="121" customFormat="1" outlineLevel="2">
      <c r="B7" s="121" t="s">
        <v>175</v>
      </c>
      <c r="C7" s="121" t="s">
        <v>176</v>
      </c>
      <c r="E7" s="107"/>
      <c r="F7" s="107" t="s">
        <v>89</v>
      </c>
      <c r="G7" s="107"/>
      <c r="H7" s="122" t="s">
        <v>209</v>
      </c>
      <c r="I7" s="124"/>
      <c r="J7" s="124"/>
      <c r="K7" s="124" t="s">
        <v>210</v>
      </c>
      <c r="L7" s="124" t="s">
        <v>182</v>
      </c>
      <c r="M7" s="125" t="s">
        <v>183</v>
      </c>
      <c r="N7" s="126">
        <f t="shared" si="0"/>
        <v>3800</v>
      </c>
      <c r="O7" s="127"/>
      <c r="P7" s="127"/>
      <c r="Q7" s="127"/>
      <c r="R7" s="127"/>
      <c r="S7" s="127"/>
      <c r="T7" s="127">
        <v>0</v>
      </c>
      <c r="U7" s="127"/>
      <c r="V7" s="127"/>
      <c r="W7" s="127"/>
      <c r="X7" s="127">
        <v>0</v>
      </c>
      <c r="Y7" s="127"/>
      <c r="Z7" s="127"/>
      <c r="AA7" s="127"/>
      <c r="AB7" s="127">
        <v>0</v>
      </c>
      <c r="AC7" s="127"/>
      <c r="AD7" s="127"/>
      <c r="AE7" s="127">
        <v>1400</v>
      </c>
      <c r="AF7" s="127">
        <v>1400</v>
      </c>
      <c r="AG7" s="127">
        <v>1000</v>
      </c>
      <c r="AH7" s="127"/>
      <c r="AI7" s="127"/>
      <c r="AJ7" s="127"/>
      <c r="AK7" s="127">
        <v>0</v>
      </c>
      <c r="AL7" s="127"/>
      <c r="AM7" s="127"/>
      <c r="AN7" s="127"/>
      <c r="AO7" s="127">
        <v>0</v>
      </c>
      <c r="AP7" s="127"/>
      <c r="AQ7" s="127"/>
      <c r="AR7" s="127"/>
      <c r="AS7" s="127"/>
      <c r="AT7" s="127">
        <v>0</v>
      </c>
      <c r="AU7" s="127"/>
      <c r="AV7" s="127"/>
      <c r="AW7" s="127"/>
      <c r="AX7" s="127">
        <v>0</v>
      </c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 t="s">
        <v>211</v>
      </c>
      <c r="BQ7" s="127" t="s">
        <v>212</v>
      </c>
      <c r="BR7" s="127" t="s">
        <v>213</v>
      </c>
      <c r="BS7" s="127" t="s">
        <v>214</v>
      </c>
      <c r="BT7" s="127" t="s">
        <v>188</v>
      </c>
      <c r="BU7" s="127" t="s">
        <v>189</v>
      </c>
      <c r="BV7" s="127" t="s">
        <v>205</v>
      </c>
      <c r="BW7" s="127" t="s">
        <v>191</v>
      </c>
      <c r="BX7" s="127" t="s">
        <v>189</v>
      </c>
      <c r="BY7" s="127" t="s">
        <v>189</v>
      </c>
      <c r="BZ7" s="127" t="s">
        <v>215</v>
      </c>
    </row>
    <row r="8" spans="1:78" s="132" customFormat="1" outlineLevel="2">
      <c r="A8" s="132" t="s">
        <v>216</v>
      </c>
      <c r="B8" s="132" t="s">
        <v>175</v>
      </c>
      <c r="C8" s="132" t="s">
        <v>176</v>
      </c>
      <c r="D8" s="133"/>
      <c r="F8" s="134" t="s">
        <v>89</v>
      </c>
      <c r="H8" s="135"/>
      <c r="I8" s="135"/>
      <c r="J8" s="135"/>
      <c r="K8" s="135" t="s">
        <v>217</v>
      </c>
      <c r="L8" s="135"/>
      <c r="M8" s="136"/>
      <c r="N8" s="137">
        <f t="shared" si="0"/>
        <v>18000</v>
      </c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>
        <v>1500</v>
      </c>
      <c r="AJ8" s="138">
        <v>1500</v>
      </c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>
        <v>3000</v>
      </c>
      <c r="BG8" s="138">
        <v>3000</v>
      </c>
      <c r="BH8" s="138">
        <v>3000</v>
      </c>
      <c r="BI8" s="138">
        <v>3000</v>
      </c>
      <c r="BJ8" s="138">
        <v>3000</v>
      </c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</row>
    <row r="9" spans="1:78" s="132" customFormat="1" outlineLevel="2">
      <c r="A9" s="132" t="s">
        <v>216</v>
      </c>
      <c r="B9" s="132" t="s">
        <v>175</v>
      </c>
      <c r="C9" s="132" t="s">
        <v>176</v>
      </c>
      <c r="D9" s="133"/>
      <c r="F9" s="134" t="s">
        <v>89</v>
      </c>
      <c r="H9" s="135"/>
      <c r="I9" s="135"/>
      <c r="J9" s="135"/>
      <c r="K9" s="135" t="s">
        <v>218</v>
      </c>
      <c r="L9" s="135"/>
      <c r="M9" s="136"/>
      <c r="N9" s="137">
        <f t="shared" si="0"/>
        <v>10000</v>
      </c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>
        <v>3350</v>
      </c>
      <c r="BD9" s="138">
        <v>3350</v>
      </c>
      <c r="BE9" s="138">
        <v>3300</v>
      </c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</row>
    <row r="10" spans="1:78" s="139" customFormat="1" outlineLevel="1">
      <c r="C10" s="140" t="s">
        <v>219</v>
      </c>
      <c r="H10" s="141"/>
      <c r="I10" s="141"/>
      <c r="J10" s="141"/>
      <c r="K10" s="141"/>
      <c r="L10" s="141"/>
      <c r="M10" s="142"/>
      <c r="N10" s="143">
        <f t="shared" ref="N10:BO10" si="1">SUBTOTAL(9,N3:N9)</f>
        <v>46400</v>
      </c>
      <c r="O10" s="144">
        <f t="shared" si="1"/>
        <v>0</v>
      </c>
      <c r="P10" s="144">
        <f t="shared" si="1"/>
        <v>0</v>
      </c>
      <c r="Q10" s="144">
        <f t="shared" si="1"/>
        <v>0</v>
      </c>
      <c r="R10" s="144">
        <f t="shared" si="1"/>
        <v>0</v>
      </c>
      <c r="S10" s="144">
        <f t="shared" si="1"/>
        <v>0</v>
      </c>
      <c r="T10" s="144">
        <f t="shared" si="1"/>
        <v>0</v>
      </c>
      <c r="U10" s="144">
        <f t="shared" si="1"/>
        <v>0</v>
      </c>
      <c r="V10" s="144">
        <f t="shared" si="1"/>
        <v>0</v>
      </c>
      <c r="W10" s="144">
        <f t="shared" si="1"/>
        <v>3400</v>
      </c>
      <c r="X10" s="144">
        <f t="shared" si="1"/>
        <v>0</v>
      </c>
      <c r="Y10" s="144">
        <f t="shared" si="1"/>
        <v>0</v>
      </c>
      <c r="Z10" s="144">
        <f t="shared" si="1"/>
        <v>0</v>
      </c>
      <c r="AA10" s="144">
        <f t="shared" si="1"/>
        <v>0</v>
      </c>
      <c r="AB10" s="144">
        <f t="shared" si="1"/>
        <v>0</v>
      </c>
      <c r="AC10" s="144">
        <f t="shared" si="1"/>
        <v>0</v>
      </c>
      <c r="AD10" s="144">
        <f t="shared" si="1"/>
        <v>0</v>
      </c>
      <c r="AE10" s="144">
        <f t="shared" si="1"/>
        <v>1400</v>
      </c>
      <c r="AF10" s="144">
        <f t="shared" si="1"/>
        <v>1400</v>
      </c>
      <c r="AG10" s="144">
        <f t="shared" si="1"/>
        <v>1000</v>
      </c>
      <c r="AH10" s="144">
        <f t="shared" si="1"/>
        <v>0</v>
      </c>
      <c r="AI10" s="144">
        <f t="shared" si="1"/>
        <v>1500</v>
      </c>
      <c r="AJ10" s="144">
        <f t="shared" si="1"/>
        <v>1500</v>
      </c>
      <c r="AK10" s="144">
        <f t="shared" si="1"/>
        <v>0</v>
      </c>
      <c r="AL10" s="144">
        <f t="shared" si="1"/>
        <v>0</v>
      </c>
      <c r="AM10" s="144">
        <f t="shared" si="1"/>
        <v>0</v>
      </c>
      <c r="AN10" s="144">
        <f t="shared" si="1"/>
        <v>0</v>
      </c>
      <c r="AO10" s="144">
        <f t="shared" si="1"/>
        <v>0</v>
      </c>
      <c r="AP10" s="144">
        <f t="shared" si="1"/>
        <v>0</v>
      </c>
      <c r="AQ10" s="144">
        <f t="shared" si="1"/>
        <v>0</v>
      </c>
      <c r="AR10" s="144">
        <f t="shared" si="1"/>
        <v>0</v>
      </c>
      <c r="AS10" s="144">
        <f t="shared" si="1"/>
        <v>0</v>
      </c>
      <c r="AT10" s="144">
        <f t="shared" si="1"/>
        <v>1200</v>
      </c>
      <c r="AU10" s="144">
        <f t="shared" si="1"/>
        <v>0</v>
      </c>
      <c r="AV10" s="144">
        <f t="shared" si="1"/>
        <v>2000</v>
      </c>
      <c r="AW10" s="144">
        <f t="shared" si="1"/>
        <v>2000</v>
      </c>
      <c r="AX10" s="144">
        <f t="shared" si="1"/>
        <v>2000</v>
      </c>
      <c r="AY10" s="144">
        <f t="shared" si="1"/>
        <v>2000</v>
      </c>
      <c r="AZ10" s="144">
        <f t="shared" si="1"/>
        <v>2000</v>
      </c>
      <c r="BA10" s="144">
        <f t="shared" si="1"/>
        <v>0</v>
      </c>
      <c r="BB10" s="144">
        <f t="shared" si="1"/>
        <v>0</v>
      </c>
      <c r="BC10" s="144">
        <f t="shared" si="1"/>
        <v>3350</v>
      </c>
      <c r="BD10" s="144">
        <f t="shared" si="1"/>
        <v>3350</v>
      </c>
      <c r="BE10" s="144">
        <f t="shared" si="1"/>
        <v>3300</v>
      </c>
      <c r="BF10" s="144">
        <f t="shared" si="1"/>
        <v>3000</v>
      </c>
      <c r="BG10" s="144">
        <f t="shared" si="1"/>
        <v>3000</v>
      </c>
      <c r="BH10" s="144">
        <f t="shared" si="1"/>
        <v>3000</v>
      </c>
      <c r="BI10" s="144">
        <f t="shared" si="1"/>
        <v>3000</v>
      </c>
      <c r="BJ10" s="144">
        <f t="shared" si="1"/>
        <v>3000</v>
      </c>
      <c r="BK10" s="144">
        <f t="shared" si="1"/>
        <v>0</v>
      </c>
      <c r="BL10" s="144">
        <f t="shared" si="1"/>
        <v>0</v>
      </c>
      <c r="BM10" s="144">
        <f t="shared" si="1"/>
        <v>0</v>
      </c>
      <c r="BN10" s="144">
        <f t="shared" si="1"/>
        <v>0</v>
      </c>
      <c r="BO10" s="144">
        <f t="shared" si="1"/>
        <v>0</v>
      </c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>
        <f>SUBTOTAL(9,BZ3:BZ5)</f>
        <v>0</v>
      </c>
    </row>
    <row r="11" spans="1:78" s="121" customFormat="1" outlineLevel="2">
      <c r="B11" s="121" t="s">
        <v>175</v>
      </c>
      <c r="C11" s="121" t="s">
        <v>220</v>
      </c>
      <c r="D11" s="145" t="s">
        <v>195</v>
      </c>
      <c r="F11" s="145" t="s">
        <v>221</v>
      </c>
      <c r="H11" s="122" t="s">
        <v>222</v>
      </c>
      <c r="I11" s="124"/>
      <c r="J11" s="124"/>
      <c r="K11" s="124" t="s">
        <v>223</v>
      </c>
      <c r="L11" s="124" t="s">
        <v>224</v>
      </c>
      <c r="M11" s="125" t="s">
        <v>183</v>
      </c>
      <c r="N11" s="126">
        <f>SUM(O11:BO11)</f>
        <v>7200</v>
      </c>
      <c r="O11" s="127"/>
      <c r="P11" s="127"/>
      <c r="Q11" s="127"/>
      <c r="R11" s="127"/>
      <c r="S11" s="127"/>
      <c r="T11" s="127">
        <v>0</v>
      </c>
      <c r="U11" s="127"/>
      <c r="V11" s="127"/>
      <c r="W11" s="127"/>
      <c r="X11" s="127">
        <v>0</v>
      </c>
      <c r="Y11" s="127"/>
      <c r="Z11" s="127"/>
      <c r="AA11" s="127"/>
      <c r="AB11" s="127">
        <v>0</v>
      </c>
      <c r="AC11" s="127"/>
      <c r="AD11" s="127"/>
      <c r="AE11" s="127"/>
      <c r="AF11" s="127"/>
      <c r="AG11" s="127"/>
      <c r="AH11" s="130">
        <v>1200</v>
      </c>
      <c r="AI11" s="127"/>
      <c r="AJ11" s="127"/>
      <c r="AK11" s="127"/>
      <c r="AL11" s="130">
        <v>1200</v>
      </c>
      <c r="AM11" s="127"/>
      <c r="AN11" s="130">
        <v>1200</v>
      </c>
      <c r="AO11" s="127"/>
      <c r="AP11" s="130">
        <v>1200</v>
      </c>
      <c r="AQ11" s="130">
        <v>1200</v>
      </c>
      <c r="AR11" s="127"/>
      <c r="AS11" s="130">
        <v>1200</v>
      </c>
      <c r="AT11" s="127"/>
      <c r="AU11" s="127"/>
      <c r="AV11" s="127"/>
      <c r="AW11" s="127"/>
      <c r="AX11" s="127"/>
      <c r="AY11" s="127"/>
      <c r="AZ11" s="127"/>
      <c r="BA11" s="127"/>
      <c r="BB11" s="127">
        <v>0</v>
      </c>
      <c r="BC11" s="127"/>
      <c r="BD11" s="127"/>
      <c r="BE11" s="127"/>
      <c r="BF11" s="127"/>
      <c r="BG11" s="127">
        <v>0</v>
      </c>
      <c r="BH11" s="127"/>
      <c r="BI11" s="127"/>
      <c r="BJ11" s="127"/>
      <c r="BK11" s="127">
        <v>0</v>
      </c>
      <c r="BL11" s="127"/>
      <c r="BM11" s="127"/>
      <c r="BN11" s="127"/>
      <c r="BO11" s="127"/>
      <c r="BP11" s="127" t="s">
        <v>225</v>
      </c>
      <c r="BQ11" s="127" t="s">
        <v>226</v>
      </c>
      <c r="BR11" s="127" t="s">
        <v>227</v>
      </c>
      <c r="BS11" s="127" t="s">
        <v>228</v>
      </c>
      <c r="BT11" s="127" t="s">
        <v>188</v>
      </c>
      <c r="BU11" s="127" t="s">
        <v>189</v>
      </c>
      <c r="BV11" s="127" t="s">
        <v>229</v>
      </c>
      <c r="BW11" s="127" t="s">
        <v>191</v>
      </c>
      <c r="BX11" s="127" t="s">
        <v>189</v>
      </c>
      <c r="BY11" s="127" t="s">
        <v>189</v>
      </c>
      <c r="BZ11" s="131" t="s">
        <v>230</v>
      </c>
    </row>
    <row r="12" spans="1:78" s="121" customFormat="1" outlineLevel="2">
      <c r="B12" s="121" t="s">
        <v>175</v>
      </c>
      <c r="C12" s="121" t="s">
        <v>220</v>
      </c>
      <c r="D12" s="121" t="s">
        <v>195</v>
      </c>
      <c r="F12" s="107" t="s">
        <v>231</v>
      </c>
      <c r="H12" s="122" t="s">
        <v>232</v>
      </c>
      <c r="I12" s="123" t="s">
        <v>180</v>
      </c>
      <c r="J12" s="124"/>
      <c r="K12" s="124" t="s">
        <v>233</v>
      </c>
      <c r="L12" s="124" t="s">
        <v>234</v>
      </c>
      <c r="M12" s="125" t="s">
        <v>183</v>
      </c>
      <c r="N12" s="126">
        <f>SUM(O12:BO12)</f>
        <v>68900</v>
      </c>
      <c r="O12" s="130">
        <v>1300</v>
      </c>
      <c r="P12" s="130">
        <v>6500</v>
      </c>
      <c r="Q12" s="130">
        <v>6500</v>
      </c>
      <c r="R12" s="130">
        <v>6500</v>
      </c>
      <c r="S12" s="130">
        <v>6500</v>
      </c>
      <c r="T12" s="130">
        <v>6500</v>
      </c>
      <c r="U12" s="130">
        <v>6500</v>
      </c>
      <c r="V12" s="130">
        <v>6500</v>
      </c>
      <c r="W12" s="130">
        <v>6500</v>
      </c>
      <c r="X12" s="130">
        <v>6500</v>
      </c>
      <c r="Y12" s="130">
        <v>6500</v>
      </c>
      <c r="Z12" s="130">
        <v>2600</v>
      </c>
      <c r="AA12" s="127"/>
      <c r="AB12" s="127">
        <v>0</v>
      </c>
      <c r="AC12" s="127"/>
      <c r="AD12" s="127"/>
      <c r="AE12" s="127"/>
      <c r="AF12" s="127"/>
      <c r="AG12" s="127">
        <v>0</v>
      </c>
      <c r="AH12" s="127"/>
      <c r="AI12" s="127"/>
      <c r="AJ12" s="127"/>
      <c r="AK12" s="127">
        <v>0</v>
      </c>
      <c r="AL12" s="127"/>
      <c r="AM12" s="127"/>
      <c r="AN12" s="127"/>
      <c r="AO12" s="127">
        <v>0</v>
      </c>
      <c r="AP12" s="127"/>
      <c r="AQ12" s="127"/>
      <c r="AR12" s="127"/>
      <c r="AS12" s="127"/>
      <c r="AT12" s="127">
        <v>0</v>
      </c>
      <c r="AU12" s="127"/>
      <c r="AV12" s="127"/>
      <c r="AW12" s="127"/>
      <c r="AX12" s="127">
        <v>0</v>
      </c>
      <c r="AY12" s="127"/>
      <c r="AZ12" s="127"/>
      <c r="BA12" s="127"/>
      <c r="BB12" s="127">
        <v>0</v>
      </c>
      <c r="BC12" s="127"/>
      <c r="BD12" s="127"/>
      <c r="BE12" s="127"/>
      <c r="BF12" s="127"/>
      <c r="BG12" s="127">
        <v>0</v>
      </c>
      <c r="BH12" s="127"/>
      <c r="BI12" s="127"/>
      <c r="BJ12" s="127"/>
      <c r="BK12" s="127">
        <v>0</v>
      </c>
      <c r="BL12" s="127"/>
      <c r="BM12" s="127"/>
      <c r="BN12" s="127"/>
      <c r="BO12" s="127"/>
      <c r="BP12" s="127" t="s">
        <v>235</v>
      </c>
      <c r="BQ12" s="127" t="s">
        <v>236</v>
      </c>
      <c r="BR12" s="127" t="s">
        <v>237</v>
      </c>
      <c r="BS12" s="127" t="s">
        <v>238</v>
      </c>
      <c r="BT12" s="127" t="s">
        <v>239</v>
      </c>
      <c r="BU12" s="127" t="s">
        <v>189</v>
      </c>
      <c r="BV12" s="127" t="s">
        <v>190</v>
      </c>
      <c r="BW12" s="127" t="s">
        <v>191</v>
      </c>
      <c r="BX12" s="127" t="s">
        <v>240</v>
      </c>
      <c r="BY12" s="127" t="s">
        <v>241</v>
      </c>
      <c r="BZ12" s="128" t="s">
        <v>242</v>
      </c>
    </row>
    <row r="13" spans="1:78" s="121" customFormat="1" outlineLevel="2">
      <c r="B13" s="121" t="s">
        <v>175</v>
      </c>
      <c r="C13" s="121" t="s">
        <v>220</v>
      </c>
      <c r="F13" s="121" t="s">
        <v>89</v>
      </c>
      <c r="G13" s="121" t="s">
        <v>243</v>
      </c>
      <c r="H13" s="122" t="s">
        <v>232</v>
      </c>
      <c r="I13" s="123" t="s">
        <v>180</v>
      </c>
      <c r="J13" s="124"/>
      <c r="K13" s="124" t="s">
        <v>244</v>
      </c>
      <c r="L13" s="124" t="s">
        <v>234</v>
      </c>
      <c r="M13" s="125" t="s">
        <v>183</v>
      </c>
      <c r="N13" s="126">
        <f>SUM(O13:BO13)</f>
        <v>3000</v>
      </c>
      <c r="O13" s="127">
        <v>500</v>
      </c>
      <c r="P13" s="127">
        <v>500</v>
      </c>
      <c r="Q13" s="127">
        <v>500</v>
      </c>
      <c r="R13" s="127">
        <v>500</v>
      </c>
      <c r="S13" s="127">
        <v>500</v>
      </c>
      <c r="T13" s="127">
        <v>500</v>
      </c>
      <c r="U13" s="127"/>
      <c r="V13" s="127"/>
      <c r="W13" s="127"/>
      <c r="X13" s="127"/>
      <c r="Y13" s="127"/>
      <c r="Z13" s="127"/>
      <c r="AA13" s="127"/>
      <c r="AB13" s="127">
        <v>0</v>
      </c>
      <c r="AC13" s="127"/>
      <c r="AD13" s="127"/>
      <c r="AE13" s="127"/>
      <c r="AF13" s="127"/>
      <c r="AG13" s="127">
        <v>0</v>
      </c>
      <c r="AH13" s="127"/>
      <c r="AI13" s="127"/>
      <c r="AJ13" s="127"/>
      <c r="AK13" s="127">
        <v>0</v>
      </c>
      <c r="AL13" s="127"/>
      <c r="AM13" s="127"/>
      <c r="AN13" s="127"/>
      <c r="AO13" s="127">
        <v>0</v>
      </c>
      <c r="AP13" s="127"/>
      <c r="AQ13" s="127"/>
      <c r="AR13" s="127"/>
      <c r="AS13" s="127"/>
      <c r="AT13" s="127">
        <v>0</v>
      </c>
      <c r="AU13" s="127"/>
      <c r="AV13" s="127"/>
      <c r="AW13" s="127"/>
      <c r="AX13" s="127">
        <v>0</v>
      </c>
      <c r="AY13" s="127"/>
      <c r="AZ13" s="127"/>
      <c r="BA13" s="127"/>
      <c r="BB13" s="127">
        <v>0</v>
      </c>
      <c r="BC13" s="127"/>
      <c r="BD13" s="127"/>
      <c r="BE13" s="127"/>
      <c r="BF13" s="127"/>
      <c r="BG13" s="127">
        <v>0</v>
      </c>
      <c r="BH13" s="127"/>
      <c r="BI13" s="127"/>
      <c r="BJ13" s="127"/>
      <c r="BK13" s="127">
        <v>0</v>
      </c>
      <c r="BL13" s="127"/>
      <c r="BM13" s="127"/>
      <c r="BN13" s="127"/>
      <c r="BO13" s="127"/>
      <c r="BP13" s="127" t="s">
        <v>235</v>
      </c>
      <c r="BQ13" s="127" t="s">
        <v>236</v>
      </c>
      <c r="BR13" s="127" t="s">
        <v>237</v>
      </c>
      <c r="BS13" s="127" t="s">
        <v>238</v>
      </c>
      <c r="BT13" s="127" t="s">
        <v>239</v>
      </c>
      <c r="BU13" s="127" t="s">
        <v>189</v>
      </c>
      <c r="BV13" s="127" t="s">
        <v>190</v>
      </c>
      <c r="BW13" s="127" t="s">
        <v>191</v>
      </c>
      <c r="BX13" s="127" t="s">
        <v>240</v>
      </c>
      <c r="BY13" s="127" t="s">
        <v>241</v>
      </c>
      <c r="BZ13" s="128" t="s">
        <v>242</v>
      </c>
    </row>
    <row r="14" spans="1:78" s="121" customFormat="1" ht="12" customHeight="1" outlineLevel="2">
      <c r="B14" s="121" t="s">
        <v>175</v>
      </c>
      <c r="C14" s="121" t="s">
        <v>220</v>
      </c>
      <c r="D14" s="121" t="s">
        <v>177</v>
      </c>
      <c r="F14" s="107" t="s">
        <v>245</v>
      </c>
      <c r="H14" s="122" t="s">
        <v>246</v>
      </c>
      <c r="I14" s="123" t="s">
        <v>247</v>
      </c>
      <c r="J14" s="124"/>
      <c r="K14" s="124" t="s">
        <v>248</v>
      </c>
      <c r="L14" s="124" t="s">
        <v>234</v>
      </c>
      <c r="M14" s="125" t="s">
        <v>249</v>
      </c>
      <c r="N14" s="126">
        <f t="shared" ref="N14:N23" si="2">SUM(O14:BO14)</f>
        <v>16500</v>
      </c>
      <c r="O14" s="127">
        <v>0</v>
      </c>
      <c r="P14" s="127"/>
      <c r="Q14" s="127"/>
      <c r="R14" s="127"/>
      <c r="S14" s="127"/>
      <c r="T14" s="127">
        <v>0</v>
      </c>
      <c r="U14" s="127"/>
      <c r="V14" s="127"/>
      <c r="W14" s="127"/>
      <c r="X14" s="127">
        <v>0</v>
      </c>
      <c r="Y14" s="127"/>
      <c r="Z14" s="127"/>
      <c r="AA14" s="127"/>
      <c r="AB14" s="127">
        <v>0</v>
      </c>
      <c r="AC14" s="127"/>
      <c r="AD14" s="127"/>
      <c r="AE14" s="127"/>
      <c r="AF14" s="127"/>
      <c r="AG14" s="127">
        <v>0</v>
      </c>
      <c r="AH14" s="127"/>
      <c r="AI14" s="127"/>
      <c r="AJ14" s="127"/>
      <c r="AK14" s="127">
        <v>0</v>
      </c>
      <c r="AL14" s="127"/>
      <c r="AM14" s="127"/>
      <c r="AN14" s="127"/>
      <c r="AO14" s="127">
        <v>0</v>
      </c>
      <c r="AP14" s="127"/>
      <c r="AQ14" s="127"/>
      <c r="AR14" s="127"/>
      <c r="AS14" s="127"/>
      <c r="AT14" s="127">
        <v>1100</v>
      </c>
      <c r="AU14" s="127">
        <v>1100</v>
      </c>
      <c r="AV14" s="127">
        <v>1100</v>
      </c>
      <c r="AW14" s="127">
        <v>1100</v>
      </c>
      <c r="AX14" s="127">
        <v>1100</v>
      </c>
      <c r="AY14" s="127">
        <v>1100</v>
      </c>
      <c r="AZ14" s="127">
        <v>1100</v>
      </c>
      <c r="BA14" s="127">
        <v>1100</v>
      </c>
      <c r="BB14" s="127">
        <v>1100</v>
      </c>
      <c r="BC14" s="127">
        <v>1100</v>
      </c>
      <c r="BD14" s="127">
        <v>1100</v>
      </c>
      <c r="BE14" s="127">
        <v>1100</v>
      </c>
      <c r="BF14" s="127">
        <v>1100</v>
      </c>
      <c r="BG14" s="127">
        <v>1100</v>
      </c>
      <c r="BH14" s="127">
        <v>1100</v>
      </c>
      <c r="BI14" s="127"/>
      <c r="BJ14" s="127"/>
      <c r="BK14" s="127"/>
      <c r="BL14" s="127"/>
      <c r="BM14" s="127"/>
      <c r="BN14" s="127"/>
      <c r="BO14" s="127"/>
      <c r="BP14" s="127" t="s">
        <v>250</v>
      </c>
      <c r="BQ14" s="127" t="s">
        <v>251</v>
      </c>
      <c r="BR14" s="127" t="s">
        <v>252</v>
      </c>
      <c r="BS14" s="127" t="s">
        <v>253</v>
      </c>
      <c r="BT14" s="127" t="s">
        <v>188</v>
      </c>
      <c r="BU14" s="127" t="s">
        <v>189</v>
      </c>
      <c r="BV14" s="127" t="s">
        <v>254</v>
      </c>
      <c r="BW14" s="127" t="s">
        <v>191</v>
      </c>
      <c r="BX14" s="127" t="s">
        <v>255</v>
      </c>
      <c r="BY14" s="127" t="s">
        <v>256</v>
      </c>
      <c r="BZ14" s="128" t="s">
        <v>257</v>
      </c>
    </row>
    <row r="15" spans="1:78" s="121" customFormat="1" ht="12" customHeight="1" outlineLevel="2">
      <c r="B15" s="121" t="s">
        <v>175</v>
      </c>
      <c r="C15" s="121" t="s">
        <v>220</v>
      </c>
      <c r="D15" s="121" t="s">
        <v>195</v>
      </c>
      <c r="F15" s="107" t="s">
        <v>88</v>
      </c>
      <c r="H15" s="122" t="s">
        <v>258</v>
      </c>
      <c r="I15" s="123" t="s">
        <v>259</v>
      </c>
      <c r="J15" s="124"/>
      <c r="K15" s="124" t="s">
        <v>244</v>
      </c>
      <c r="L15" s="124" t="s">
        <v>234</v>
      </c>
      <c r="M15" s="125" t="s">
        <v>183</v>
      </c>
      <c r="N15" s="126">
        <f t="shared" si="2"/>
        <v>2400</v>
      </c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>
        <v>1200</v>
      </c>
      <c r="BH15" s="127">
        <v>1200</v>
      </c>
      <c r="BI15" s="127"/>
      <c r="BJ15" s="127"/>
      <c r="BK15" s="127"/>
      <c r="BL15" s="127"/>
      <c r="BM15" s="127"/>
      <c r="BN15" s="127"/>
      <c r="BO15" s="127"/>
      <c r="BP15" s="146" t="s">
        <v>260</v>
      </c>
      <c r="BQ15" s="146" t="s">
        <v>236</v>
      </c>
      <c r="BR15" s="146" t="s">
        <v>261</v>
      </c>
      <c r="BS15" s="146" t="s">
        <v>262</v>
      </c>
      <c r="BT15" s="146" t="s">
        <v>188</v>
      </c>
      <c r="BU15" s="146" t="s">
        <v>189</v>
      </c>
      <c r="BV15" s="146" t="s">
        <v>190</v>
      </c>
      <c r="BW15" s="146" t="s">
        <v>191</v>
      </c>
      <c r="BX15" s="146" t="s">
        <v>263</v>
      </c>
      <c r="BY15" s="146" t="s">
        <v>264</v>
      </c>
      <c r="BZ15" s="146" t="s">
        <v>265</v>
      </c>
    </row>
    <row r="16" spans="1:78" s="121" customFormat="1" ht="12" customHeight="1" outlineLevel="2">
      <c r="B16" s="121" t="s">
        <v>175</v>
      </c>
      <c r="C16" s="121" t="s">
        <v>220</v>
      </c>
      <c r="D16" s="121" t="s">
        <v>177</v>
      </c>
      <c r="F16" s="107" t="s">
        <v>88</v>
      </c>
      <c r="H16" s="122" t="s">
        <v>258</v>
      </c>
      <c r="I16" s="123" t="s">
        <v>266</v>
      </c>
      <c r="J16" s="124"/>
      <c r="K16" s="124" t="s">
        <v>244</v>
      </c>
      <c r="L16" s="124" t="s">
        <v>234</v>
      </c>
      <c r="M16" s="125" t="s">
        <v>183</v>
      </c>
      <c r="N16" s="126">
        <f t="shared" si="2"/>
        <v>5000</v>
      </c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>
        <v>1000</v>
      </c>
      <c r="BI16" s="127">
        <v>1000</v>
      </c>
      <c r="BJ16" s="127">
        <v>1000</v>
      </c>
      <c r="BK16" s="127">
        <v>1000</v>
      </c>
      <c r="BL16" s="127">
        <v>1000</v>
      </c>
      <c r="BM16" s="127"/>
      <c r="BN16" s="127"/>
      <c r="BO16" s="127"/>
      <c r="BP16" s="146" t="s">
        <v>260</v>
      </c>
      <c r="BQ16" s="146" t="s">
        <v>236</v>
      </c>
      <c r="BR16" s="146" t="s">
        <v>261</v>
      </c>
      <c r="BS16" s="146" t="s">
        <v>262</v>
      </c>
      <c r="BT16" s="146" t="s">
        <v>188</v>
      </c>
      <c r="BU16" s="146" t="s">
        <v>189</v>
      </c>
      <c r="BV16" s="146" t="s">
        <v>190</v>
      </c>
      <c r="BW16" s="146" t="s">
        <v>191</v>
      </c>
      <c r="BX16" s="146" t="s">
        <v>263</v>
      </c>
      <c r="BY16" s="146" t="s">
        <v>264</v>
      </c>
      <c r="BZ16" s="146" t="s">
        <v>265</v>
      </c>
    </row>
    <row r="17" spans="2:78" s="121" customFormat="1" outlineLevel="2">
      <c r="B17" s="121" t="s">
        <v>175</v>
      </c>
      <c r="C17" s="121" t="s">
        <v>220</v>
      </c>
      <c r="D17" s="145"/>
      <c r="E17" s="145"/>
      <c r="F17" s="107" t="s">
        <v>89</v>
      </c>
      <c r="G17" s="107" t="s">
        <v>199</v>
      </c>
      <c r="H17" s="122" t="s">
        <v>267</v>
      </c>
      <c r="I17" s="124"/>
      <c r="J17" s="124"/>
      <c r="K17" s="124" t="s">
        <v>268</v>
      </c>
      <c r="L17" s="124" t="s">
        <v>224</v>
      </c>
      <c r="M17" s="125" t="s">
        <v>183</v>
      </c>
      <c r="N17" s="126">
        <f t="shared" si="2"/>
        <v>1200</v>
      </c>
      <c r="O17" s="127">
        <v>0</v>
      </c>
      <c r="P17" s="127"/>
      <c r="Q17" s="127"/>
      <c r="R17" s="127"/>
      <c r="S17" s="127"/>
      <c r="T17" s="127">
        <v>0</v>
      </c>
      <c r="U17" s="127"/>
      <c r="V17" s="127"/>
      <c r="W17" s="127"/>
      <c r="X17" s="130">
        <v>1200</v>
      </c>
      <c r="Y17" s="127"/>
      <c r="Z17" s="127"/>
      <c r="AA17" s="127"/>
      <c r="AB17" s="127"/>
      <c r="AC17" s="127"/>
      <c r="AD17" s="127"/>
      <c r="AE17" s="127"/>
      <c r="AF17" s="127"/>
      <c r="AG17" s="127">
        <v>0</v>
      </c>
      <c r="AH17" s="127"/>
      <c r="AI17" s="127"/>
      <c r="AJ17" s="127"/>
      <c r="AK17" s="127">
        <v>0</v>
      </c>
      <c r="AL17" s="127"/>
      <c r="AM17" s="127"/>
      <c r="AN17" s="127"/>
      <c r="AO17" s="127">
        <v>0</v>
      </c>
      <c r="AP17" s="127"/>
      <c r="AQ17" s="127"/>
      <c r="AR17" s="127"/>
      <c r="AS17" s="127"/>
      <c r="AT17" s="127">
        <v>0</v>
      </c>
      <c r="AU17" s="127"/>
      <c r="AV17" s="127"/>
      <c r="AW17" s="127"/>
      <c r="AX17" s="127">
        <v>0</v>
      </c>
      <c r="AY17" s="127"/>
      <c r="AZ17" s="127"/>
      <c r="BA17" s="127"/>
      <c r="BB17" s="127">
        <v>0</v>
      </c>
      <c r="BC17" s="127"/>
      <c r="BD17" s="127"/>
      <c r="BE17" s="127"/>
      <c r="BF17" s="127"/>
      <c r="BG17" s="127">
        <v>0</v>
      </c>
      <c r="BH17" s="127"/>
      <c r="BI17" s="127"/>
      <c r="BJ17" s="127"/>
      <c r="BK17" s="127">
        <v>0</v>
      </c>
      <c r="BL17" s="127"/>
      <c r="BM17" s="127"/>
      <c r="BN17" s="127"/>
      <c r="BO17" s="127"/>
      <c r="BP17" s="127" t="s">
        <v>269</v>
      </c>
      <c r="BQ17" s="127" t="s">
        <v>236</v>
      </c>
      <c r="BR17" s="127" t="s">
        <v>270</v>
      </c>
      <c r="BS17" s="127" t="s">
        <v>189</v>
      </c>
      <c r="BT17" s="127" t="s">
        <v>188</v>
      </c>
      <c r="BU17" s="127" t="s">
        <v>189</v>
      </c>
      <c r="BV17" s="127" t="s">
        <v>205</v>
      </c>
      <c r="BW17" s="127" t="s">
        <v>191</v>
      </c>
      <c r="BX17" s="127" t="s">
        <v>189</v>
      </c>
      <c r="BY17" s="127" t="s">
        <v>189</v>
      </c>
      <c r="BZ17" s="131" t="s">
        <v>230</v>
      </c>
    </row>
    <row r="18" spans="2:78" s="121" customFormat="1" outlineLevel="2">
      <c r="B18" s="107" t="s">
        <v>175</v>
      </c>
      <c r="C18" s="121" t="s">
        <v>220</v>
      </c>
      <c r="D18" s="107"/>
      <c r="F18" s="107" t="s">
        <v>89</v>
      </c>
      <c r="G18" s="107" t="s">
        <v>199</v>
      </c>
      <c r="H18" s="122" t="s">
        <v>271</v>
      </c>
      <c r="I18" s="124"/>
      <c r="J18" s="124"/>
      <c r="K18" s="124" t="s">
        <v>272</v>
      </c>
      <c r="L18" s="124" t="s">
        <v>273</v>
      </c>
      <c r="M18" s="125" t="s">
        <v>183</v>
      </c>
      <c r="N18" s="126">
        <f t="shared" si="2"/>
        <v>2800</v>
      </c>
      <c r="O18" s="127">
        <v>0</v>
      </c>
      <c r="P18" s="127"/>
      <c r="Q18" s="127"/>
      <c r="R18" s="127"/>
      <c r="S18" s="127"/>
      <c r="T18" s="127">
        <v>0</v>
      </c>
      <c r="U18" s="127"/>
      <c r="V18" s="127"/>
      <c r="W18" s="127"/>
      <c r="X18" s="127"/>
      <c r="Y18" s="127"/>
      <c r="Z18" s="130">
        <v>2800</v>
      </c>
      <c r="AA18" s="127"/>
      <c r="AB18" s="127">
        <v>0</v>
      </c>
      <c r="AC18" s="127"/>
      <c r="AD18" s="127"/>
      <c r="AE18" s="127"/>
      <c r="AF18" s="127"/>
      <c r="AG18" s="127"/>
      <c r="AH18" s="127"/>
      <c r="AI18" s="127"/>
      <c r="AJ18" s="127"/>
      <c r="AK18" s="127">
        <v>0</v>
      </c>
      <c r="AL18" s="127"/>
      <c r="AM18" s="127"/>
      <c r="AN18" s="127"/>
      <c r="AO18" s="127">
        <v>0</v>
      </c>
      <c r="AP18" s="127"/>
      <c r="AQ18" s="127"/>
      <c r="AR18" s="127"/>
      <c r="AS18" s="127"/>
      <c r="AT18" s="127">
        <v>0</v>
      </c>
      <c r="AU18" s="127"/>
      <c r="AV18" s="127"/>
      <c r="AW18" s="127"/>
      <c r="AX18" s="127">
        <v>0</v>
      </c>
      <c r="AY18" s="127"/>
      <c r="AZ18" s="127"/>
      <c r="BA18" s="127"/>
      <c r="BB18" s="127">
        <v>0</v>
      </c>
      <c r="BC18" s="127"/>
      <c r="BD18" s="127"/>
      <c r="BE18" s="127"/>
      <c r="BF18" s="127"/>
      <c r="BG18" s="127">
        <v>0</v>
      </c>
      <c r="BH18" s="127"/>
      <c r="BI18" s="127"/>
      <c r="BJ18" s="127"/>
      <c r="BK18" s="127">
        <v>0</v>
      </c>
      <c r="BL18" s="127"/>
      <c r="BM18" s="127"/>
      <c r="BN18" s="127"/>
      <c r="BO18" s="127"/>
      <c r="BP18" s="127" t="s">
        <v>274</v>
      </c>
      <c r="BQ18" s="127" t="s">
        <v>275</v>
      </c>
      <c r="BR18" s="127" t="s">
        <v>276</v>
      </c>
      <c r="BS18" s="127" t="s">
        <v>277</v>
      </c>
      <c r="BT18" s="127" t="s">
        <v>188</v>
      </c>
      <c r="BU18" s="127" t="s">
        <v>189</v>
      </c>
      <c r="BV18" s="127" t="s">
        <v>205</v>
      </c>
      <c r="BW18" s="127" t="s">
        <v>191</v>
      </c>
      <c r="BX18" s="127" t="s">
        <v>278</v>
      </c>
      <c r="BY18" s="127" t="s">
        <v>279</v>
      </c>
      <c r="BZ18" s="131" t="s">
        <v>280</v>
      </c>
    </row>
    <row r="19" spans="2:78" s="121" customFormat="1" outlineLevel="2">
      <c r="B19" s="107" t="s">
        <v>175</v>
      </c>
      <c r="C19" s="121" t="s">
        <v>220</v>
      </c>
      <c r="D19" s="107"/>
      <c r="F19" s="107" t="s">
        <v>89</v>
      </c>
      <c r="G19" s="107"/>
      <c r="H19" s="122" t="s">
        <v>281</v>
      </c>
      <c r="I19" s="124" t="s">
        <v>282</v>
      </c>
      <c r="J19" s="124"/>
      <c r="K19" s="124" t="s">
        <v>244</v>
      </c>
      <c r="L19" s="124" t="s">
        <v>234</v>
      </c>
      <c r="M19" s="125" t="s">
        <v>183</v>
      </c>
      <c r="N19" s="126">
        <f t="shared" si="2"/>
        <v>2000</v>
      </c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>
        <v>2000</v>
      </c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</row>
    <row r="20" spans="2:78" s="121" customFormat="1" outlineLevel="2">
      <c r="B20" s="121" t="s">
        <v>175</v>
      </c>
      <c r="C20" s="121" t="s">
        <v>220</v>
      </c>
      <c r="D20" s="107"/>
      <c r="F20" s="107" t="s">
        <v>89</v>
      </c>
      <c r="G20" s="107" t="s">
        <v>199</v>
      </c>
      <c r="H20" s="122" t="s">
        <v>283</v>
      </c>
      <c r="I20" s="124"/>
      <c r="J20" s="124"/>
      <c r="K20" s="124" t="s">
        <v>284</v>
      </c>
      <c r="L20" s="124" t="s">
        <v>234</v>
      </c>
      <c r="M20" s="125" t="s">
        <v>183</v>
      </c>
      <c r="N20" s="126">
        <f t="shared" si="2"/>
        <v>2000</v>
      </c>
      <c r="O20" s="127"/>
      <c r="P20" s="127"/>
      <c r="Q20" s="127"/>
      <c r="R20" s="127"/>
      <c r="S20" s="127"/>
      <c r="T20" s="127">
        <v>0</v>
      </c>
      <c r="U20" s="127"/>
      <c r="V20" s="127"/>
      <c r="W20" s="127"/>
      <c r="X20" s="127">
        <v>0</v>
      </c>
      <c r="Y20" s="127"/>
      <c r="Z20" s="127"/>
      <c r="AA20" s="127"/>
      <c r="AB20" s="127"/>
      <c r="AC20" s="127"/>
      <c r="AD20" s="130">
        <v>2000</v>
      </c>
      <c r="AE20" s="127"/>
      <c r="AF20" s="127"/>
      <c r="AG20" s="127"/>
      <c r="AH20" s="127"/>
      <c r="AI20" s="127"/>
      <c r="AJ20" s="127"/>
      <c r="AK20" s="127">
        <v>0</v>
      </c>
      <c r="AL20" s="127"/>
      <c r="AM20" s="127"/>
      <c r="AN20" s="127"/>
      <c r="AO20" s="127">
        <v>0</v>
      </c>
      <c r="AP20" s="127"/>
      <c r="AQ20" s="127"/>
      <c r="AR20" s="127"/>
      <c r="AS20" s="127"/>
      <c r="AT20" s="127">
        <v>0</v>
      </c>
      <c r="AU20" s="127"/>
      <c r="AV20" s="127"/>
      <c r="AW20" s="127"/>
      <c r="AX20" s="127">
        <v>0</v>
      </c>
      <c r="AY20" s="127"/>
      <c r="AZ20" s="127"/>
      <c r="BA20" s="127"/>
      <c r="BB20" s="127">
        <v>0</v>
      </c>
      <c r="BC20" s="127"/>
      <c r="BD20" s="127"/>
      <c r="BE20" s="127"/>
      <c r="BF20" s="127"/>
      <c r="BG20" s="127">
        <v>0</v>
      </c>
      <c r="BH20" s="127"/>
      <c r="BI20" s="127"/>
      <c r="BJ20" s="127"/>
      <c r="BK20" s="127">
        <v>0</v>
      </c>
      <c r="BL20" s="127"/>
      <c r="BM20" s="127"/>
      <c r="BN20" s="127"/>
      <c r="BO20" s="127"/>
      <c r="BP20" s="127" t="s">
        <v>285</v>
      </c>
      <c r="BQ20" s="127" t="s">
        <v>236</v>
      </c>
      <c r="BR20" s="127" t="s">
        <v>286</v>
      </c>
      <c r="BS20" s="127" t="s">
        <v>287</v>
      </c>
      <c r="BT20" s="127" t="s">
        <v>188</v>
      </c>
      <c r="BU20" s="127" t="s">
        <v>189</v>
      </c>
      <c r="BV20" s="127" t="s">
        <v>205</v>
      </c>
      <c r="BW20" s="127" t="s">
        <v>191</v>
      </c>
      <c r="BX20" s="127" t="s">
        <v>189</v>
      </c>
      <c r="BY20" s="127" t="s">
        <v>189</v>
      </c>
      <c r="BZ20" s="127" t="s">
        <v>288</v>
      </c>
    </row>
    <row r="21" spans="2:78" s="121" customFormat="1" outlineLevel="2">
      <c r="B21" s="121" t="s">
        <v>175</v>
      </c>
      <c r="C21" s="121" t="s">
        <v>220</v>
      </c>
      <c r="D21" s="102"/>
      <c r="F21" s="121" t="s">
        <v>89</v>
      </c>
      <c r="G21" s="107" t="s">
        <v>199</v>
      </c>
      <c r="H21" s="122" t="s">
        <v>289</v>
      </c>
      <c r="I21" s="124" t="s">
        <v>290</v>
      </c>
      <c r="J21" s="129"/>
      <c r="K21" s="124" t="s">
        <v>284</v>
      </c>
      <c r="L21" s="124" t="s">
        <v>234</v>
      </c>
      <c r="M21" s="125" t="s">
        <v>249</v>
      </c>
      <c r="N21" s="126">
        <f t="shared" si="2"/>
        <v>700</v>
      </c>
      <c r="O21" s="127"/>
      <c r="P21" s="127"/>
      <c r="Q21" s="127"/>
      <c r="R21" s="127"/>
      <c r="S21" s="127"/>
      <c r="T21" s="130">
        <v>300</v>
      </c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30">
        <v>400</v>
      </c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</row>
    <row r="22" spans="2:78" s="121" customFormat="1" outlineLevel="2">
      <c r="B22" s="121" t="s">
        <v>175</v>
      </c>
      <c r="C22" s="121" t="s">
        <v>220</v>
      </c>
      <c r="D22" s="102"/>
      <c r="F22" s="121" t="s">
        <v>89</v>
      </c>
      <c r="G22" s="107" t="s">
        <v>199</v>
      </c>
      <c r="H22" s="122" t="s">
        <v>289</v>
      </c>
      <c r="I22" s="124" t="s">
        <v>290</v>
      </c>
      <c r="J22" s="129"/>
      <c r="K22" s="124" t="s">
        <v>291</v>
      </c>
      <c r="L22" s="124" t="s">
        <v>234</v>
      </c>
      <c r="M22" s="125" t="s">
        <v>249</v>
      </c>
      <c r="N22" s="126">
        <f t="shared" si="2"/>
        <v>300</v>
      </c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30">
        <v>300</v>
      </c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</row>
    <row r="23" spans="2:78" s="121" customFormat="1" outlineLevel="2">
      <c r="B23" s="121" t="s">
        <v>175</v>
      </c>
      <c r="C23" s="121" t="s">
        <v>220</v>
      </c>
      <c r="D23" s="102"/>
      <c r="F23" s="121" t="s">
        <v>89</v>
      </c>
      <c r="G23" s="107" t="s">
        <v>199</v>
      </c>
      <c r="H23" s="122" t="s">
        <v>289</v>
      </c>
      <c r="I23" s="124" t="s">
        <v>290</v>
      </c>
      <c r="J23" s="129"/>
      <c r="K23" s="124" t="s">
        <v>292</v>
      </c>
      <c r="L23" s="124" t="s">
        <v>234</v>
      </c>
      <c r="M23" s="125" t="s">
        <v>249</v>
      </c>
      <c r="N23" s="126">
        <f t="shared" si="2"/>
        <v>500</v>
      </c>
      <c r="O23" s="127"/>
      <c r="P23" s="127"/>
      <c r="Q23" s="127"/>
      <c r="R23" s="127"/>
      <c r="S23" s="127"/>
      <c r="T23" s="127"/>
      <c r="U23" s="130">
        <v>500</v>
      </c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</row>
    <row r="24" spans="2:78" s="139" customFormat="1" outlineLevel="1">
      <c r="C24" s="140" t="s">
        <v>293</v>
      </c>
      <c r="H24" s="141"/>
      <c r="I24" s="141"/>
      <c r="J24" s="141"/>
      <c r="K24" s="141"/>
      <c r="L24" s="141"/>
      <c r="M24" s="142"/>
      <c r="N24" s="143">
        <f t="shared" ref="N24:BO24" si="3">SUBTOTAL(9,N11:N14)</f>
        <v>95600</v>
      </c>
      <c r="O24" s="144">
        <f t="shared" si="3"/>
        <v>1800</v>
      </c>
      <c r="P24" s="144">
        <f t="shared" si="3"/>
        <v>7000</v>
      </c>
      <c r="Q24" s="144">
        <f t="shared" si="3"/>
        <v>7000</v>
      </c>
      <c r="R24" s="144">
        <f t="shared" si="3"/>
        <v>7000</v>
      </c>
      <c r="S24" s="144">
        <f t="shared" si="3"/>
        <v>7000</v>
      </c>
      <c r="T24" s="144">
        <f>SUBTOTAL(9,T11:T21)</f>
        <v>7300</v>
      </c>
      <c r="U24" s="144">
        <f t="shared" si="3"/>
        <v>6500</v>
      </c>
      <c r="V24" s="144">
        <f t="shared" si="3"/>
        <v>6500</v>
      </c>
      <c r="W24" s="144">
        <f t="shared" si="3"/>
        <v>6500</v>
      </c>
      <c r="X24" s="144">
        <f t="shared" si="3"/>
        <v>6500</v>
      </c>
      <c r="Y24" s="144">
        <f t="shared" si="3"/>
        <v>6500</v>
      </c>
      <c r="Z24" s="144">
        <f t="shared" si="3"/>
        <v>2600</v>
      </c>
      <c r="AA24" s="144">
        <f t="shared" si="3"/>
        <v>0</v>
      </c>
      <c r="AB24" s="144">
        <f t="shared" si="3"/>
        <v>0</v>
      </c>
      <c r="AC24" s="144">
        <f t="shared" si="3"/>
        <v>0</v>
      </c>
      <c r="AD24" s="144">
        <f t="shared" si="3"/>
        <v>0</v>
      </c>
      <c r="AE24" s="144">
        <f t="shared" si="3"/>
        <v>0</v>
      </c>
      <c r="AF24" s="144">
        <f t="shared" si="3"/>
        <v>0</v>
      </c>
      <c r="AG24" s="144">
        <f t="shared" si="3"/>
        <v>0</v>
      </c>
      <c r="AH24" s="144">
        <f t="shared" si="3"/>
        <v>1200</v>
      </c>
      <c r="AI24" s="144">
        <f t="shared" si="3"/>
        <v>0</v>
      </c>
      <c r="AJ24" s="144">
        <f t="shared" si="3"/>
        <v>0</v>
      </c>
      <c r="AK24" s="144">
        <f t="shared" si="3"/>
        <v>0</v>
      </c>
      <c r="AL24" s="144">
        <f t="shared" si="3"/>
        <v>1200</v>
      </c>
      <c r="AM24" s="144">
        <f t="shared" si="3"/>
        <v>0</v>
      </c>
      <c r="AN24" s="144">
        <f t="shared" si="3"/>
        <v>1200</v>
      </c>
      <c r="AO24" s="144">
        <f t="shared" si="3"/>
        <v>0</v>
      </c>
      <c r="AP24" s="144">
        <f t="shared" si="3"/>
        <v>1200</v>
      </c>
      <c r="AQ24" s="144">
        <f t="shared" si="3"/>
        <v>1200</v>
      </c>
      <c r="AR24" s="144">
        <f t="shared" si="3"/>
        <v>0</v>
      </c>
      <c r="AS24" s="144">
        <f t="shared" si="3"/>
        <v>1200</v>
      </c>
      <c r="AT24" s="144">
        <f t="shared" si="3"/>
        <v>1100</v>
      </c>
      <c r="AU24" s="144">
        <f t="shared" si="3"/>
        <v>1100</v>
      </c>
      <c r="AV24" s="144">
        <f t="shared" si="3"/>
        <v>1100</v>
      </c>
      <c r="AW24" s="144">
        <f t="shared" si="3"/>
        <v>1100</v>
      </c>
      <c r="AX24" s="144">
        <f t="shared" si="3"/>
        <v>1100</v>
      </c>
      <c r="AY24" s="144">
        <f t="shared" si="3"/>
        <v>1100</v>
      </c>
      <c r="AZ24" s="144">
        <f t="shared" si="3"/>
        <v>1100</v>
      </c>
      <c r="BA24" s="144">
        <f t="shared" si="3"/>
        <v>1100</v>
      </c>
      <c r="BB24" s="144">
        <f t="shared" si="3"/>
        <v>1100</v>
      </c>
      <c r="BC24" s="144">
        <f t="shared" si="3"/>
        <v>1100</v>
      </c>
      <c r="BD24" s="144">
        <f t="shared" si="3"/>
        <v>1100</v>
      </c>
      <c r="BE24" s="144">
        <f t="shared" si="3"/>
        <v>1100</v>
      </c>
      <c r="BF24" s="144">
        <f t="shared" si="3"/>
        <v>1100</v>
      </c>
      <c r="BG24" s="144">
        <f>SUBTOTAL(9,BG11:BG15)</f>
        <v>2300</v>
      </c>
      <c r="BH24" s="144">
        <f t="shared" si="3"/>
        <v>1100</v>
      </c>
      <c r="BI24" s="144">
        <f t="shared" si="3"/>
        <v>0</v>
      </c>
      <c r="BJ24" s="144">
        <f t="shared" si="3"/>
        <v>0</v>
      </c>
      <c r="BK24" s="144">
        <f t="shared" si="3"/>
        <v>0</v>
      </c>
      <c r="BL24" s="144">
        <f t="shared" si="3"/>
        <v>0</v>
      </c>
      <c r="BM24" s="144">
        <f t="shared" si="3"/>
        <v>0</v>
      </c>
      <c r="BN24" s="144">
        <f t="shared" si="3"/>
        <v>0</v>
      </c>
      <c r="BO24" s="144">
        <f t="shared" si="3"/>
        <v>0</v>
      </c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>
        <f>SUBTOTAL(9,BZ11:BZ13)</f>
        <v>0</v>
      </c>
    </row>
    <row r="25" spans="2:78" s="121" customFormat="1" outlineLevel="2">
      <c r="B25" s="121" t="s">
        <v>175</v>
      </c>
      <c r="C25" s="107" t="s">
        <v>294</v>
      </c>
      <c r="D25" s="107" t="s">
        <v>195</v>
      </c>
      <c r="F25" s="107" t="s">
        <v>231</v>
      </c>
      <c r="H25" s="122" t="s">
        <v>295</v>
      </c>
      <c r="I25" s="124" t="s">
        <v>296</v>
      </c>
      <c r="J25" s="124"/>
      <c r="K25" s="124" t="s">
        <v>297</v>
      </c>
      <c r="L25" s="124" t="s">
        <v>298</v>
      </c>
      <c r="M25" s="125" t="s">
        <v>183</v>
      </c>
      <c r="N25" s="126">
        <f>SUM(O25:BO25)</f>
        <v>10000</v>
      </c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>
        <v>0</v>
      </c>
      <c r="AC25" s="127"/>
      <c r="AD25" s="127"/>
      <c r="AE25" s="127"/>
      <c r="AF25" s="127"/>
      <c r="AG25" s="127">
        <v>0</v>
      </c>
      <c r="AH25" s="127"/>
      <c r="AI25" s="127"/>
      <c r="AJ25" s="127"/>
      <c r="AK25" s="127">
        <v>0</v>
      </c>
      <c r="AL25" s="127"/>
      <c r="AM25" s="127"/>
      <c r="AN25" s="127"/>
      <c r="AO25" s="127">
        <v>0</v>
      </c>
      <c r="AP25" s="127"/>
      <c r="AQ25" s="127"/>
      <c r="AR25" s="127"/>
      <c r="AS25" s="127"/>
      <c r="AT25" s="127">
        <v>0</v>
      </c>
      <c r="AU25" s="127"/>
      <c r="AV25" s="127"/>
      <c r="AW25" s="127"/>
      <c r="AX25" s="127">
        <v>0</v>
      </c>
      <c r="AY25" s="127">
        <v>1000</v>
      </c>
      <c r="AZ25" s="127">
        <v>1000</v>
      </c>
      <c r="BA25" s="127">
        <v>1000</v>
      </c>
      <c r="BB25" s="127">
        <v>1000</v>
      </c>
      <c r="BC25" s="127">
        <v>0</v>
      </c>
      <c r="BD25" s="127">
        <v>1000</v>
      </c>
      <c r="BE25" s="127">
        <v>1000</v>
      </c>
      <c r="BF25" s="127">
        <v>1000</v>
      </c>
      <c r="BG25" s="127">
        <v>1000</v>
      </c>
      <c r="BH25" s="127">
        <v>1000</v>
      </c>
      <c r="BI25" s="127">
        <v>1000</v>
      </c>
      <c r="BJ25" s="127"/>
      <c r="BK25" s="127">
        <v>0</v>
      </c>
      <c r="BL25" s="127"/>
      <c r="BM25" s="127"/>
      <c r="BN25" s="127"/>
      <c r="BO25" s="127"/>
      <c r="BP25" s="127" t="s">
        <v>299</v>
      </c>
      <c r="BQ25" s="127" t="s">
        <v>300</v>
      </c>
      <c r="BR25" s="127" t="s">
        <v>301</v>
      </c>
      <c r="BS25" s="127" t="s">
        <v>302</v>
      </c>
      <c r="BT25" s="127" t="s">
        <v>303</v>
      </c>
      <c r="BU25" s="127" t="s">
        <v>189</v>
      </c>
      <c r="BV25" s="127" t="s">
        <v>304</v>
      </c>
      <c r="BW25" s="127" t="s">
        <v>191</v>
      </c>
      <c r="BX25" s="127" t="s">
        <v>305</v>
      </c>
      <c r="BY25" s="127" t="s">
        <v>306</v>
      </c>
      <c r="BZ25" s="131" t="s">
        <v>307</v>
      </c>
    </row>
    <row r="26" spans="2:78" s="121" customFormat="1" outlineLevel="2">
      <c r="B26" s="121" t="s">
        <v>175</v>
      </c>
      <c r="C26" s="107" t="s">
        <v>294</v>
      </c>
      <c r="D26" s="107" t="s">
        <v>195</v>
      </c>
      <c r="F26" s="107" t="s">
        <v>245</v>
      </c>
      <c r="H26" s="124" t="s">
        <v>308</v>
      </c>
      <c r="I26" s="124"/>
      <c r="J26" s="124"/>
      <c r="K26" s="124" t="s">
        <v>309</v>
      </c>
      <c r="L26" s="124" t="s">
        <v>234</v>
      </c>
      <c r="M26" s="125" t="s">
        <v>183</v>
      </c>
      <c r="N26" s="126">
        <f>SUM(O26:BO26)</f>
        <v>2400</v>
      </c>
      <c r="O26" s="127"/>
      <c r="P26" s="127"/>
      <c r="Q26" s="127"/>
      <c r="R26" s="127"/>
      <c r="S26" s="127"/>
      <c r="T26" s="127">
        <v>0</v>
      </c>
      <c r="U26" s="127"/>
      <c r="V26" s="127"/>
      <c r="W26" s="127"/>
      <c r="X26" s="127">
        <v>0</v>
      </c>
      <c r="Y26" s="127"/>
      <c r="Z26" s="127"/>
      <c r="AA26" s="127"/>
      <c r="AB26" s="127">
        <v>0</v>
      </c>
      <c r="AC26" s="127"/>
      <c r="AD26" s="127"/>
      <c r="AE26" s="127"/>
      <c r="AF26" s="127"/>
      <c r="AG26" s="127">
        <v>0</v>
      </c>
      <c r="AH26" s="127"/>
      <c r="AI26" s="127"/>
      <c r="AJ26" s="127"/>
      <c r="AK26" s="127">
        <v>0</v>
      </c>
      <c r="AL26" s="127"/>
      <c r="AM26" s="127"/>
      <c r="AN26" s="127"/>
      <c r="AO26" s="127">
        <v>0</v>
      </c>
      <c r="AP26" s="127"/>
      <c r="AQ26" s="127"/>
      <c r="AR26" s="127"/>
      <c r="AS26" s="127"/>
      <c r="AT26" s="127">
        <v>0</v>
      </c>
      <c r="AU26" s="127"/>
      <c r="AV26" s="127"/>
      <c r="AW26" s="127"/>
      <c r="AX26" s="127">
        <v>0</v>
      </c>
      <c r="AY26" s="127"/>
      <c r="AZ26" s="127"/>
      <c r="BA26" s="127"/>
      <c r="BB26" s="127">
        <v>1200</v>
      </c>
      <c r="BC26" s="127"/>
      <c r="BD26" s="127">
        <v>1200</v>
      </c>
      <c r="BE26" s="127"/>
      <c r="BF26" s="127"/>
      <c r="BG26" s="127">
        <v>0</v>
      </c>
      <c r="BH26" s="127"/>
      <c r="BI26" s="127"/>
      <c r="BJ26" s="127"/>
      <c r="BK26" s="127">
        <v>0</v>
      </c>
      <c r="BL26" s="127"/>
      <c r="BM26" s="127"/>
      <c r="BN26" s="127"/>
      <c r="BO26" s="127"/>
      <c r="BP26" s="127" t="s">
        <v>310</v>
      </c>
      <c r="BQ26" s="127" t="s">
        <v>236</v>
      </c>
      <c r="BR26" s="127" t="s">
        <v>311</v>
      </c>
      <c r="BS26" s="127" t="s">
        <v>312</v>
      </c>
      <c r="BT26" s="127" t="s">
        <v>188</v>
      </c>
      <c r="BU26" s="127" t="s">
        <v>189</v>
      </c>
      <c r="BV26" s="127" t="s">
        <v>229</v>
      </c>
      <c r="BW26" s="127" t="s">
        <v>191</v>
      </c>
      <c r="BX26" s="127" t="s">
        <v>189</v>
      </c>
      <c r="BY26" s="127" t="s">
        <v>189</v>
      </c>
      <c r="BZ26" s="127" t="s">
        <v>189</v>
      </c>
    </row>
    <row r="27" spans="2:78" s="121" customFormat="1" outlineLevel="2">
      <c r="B27" s="121" t="s">
        <v>175</v>
      </c>
      <c r="C27" s="107" t="s">
        <v>294</v>
      </c>
      <c r="D27" s="107" t="s">
        <v>195</v>
      </c>
      <c r="F27" s="107" t="s">
        <v>245</v>
      </c>
      <c r="H27" s="122" t="s">
        <v>313</v>
      </c>
      <c r="I27" s="124"/>
      <c r="J27" s="124"/>
      <c r="K27" s="124" t="s">
        <v>314</v>
      </c>
      <c r="L27" s="124" t="s">
        <v>315</v>
      </c>
      <c r="M27" s="125" t="s">
        <v>183</v>
      </c>
      <c r="N27" s="126">
        <f>SUM(O27:BO27)</f>
        <v>4800</v>
      </c>
      <c r="O27" s="127">
        <v>0</v>
      </c>
      <c r="P27" s="127"/>
      <c r="Q27" s="127"/>
      <c r="R27" s="127"/>
      <c r="S27" s="127"/>
      <c r="T27" s="127">
        <v>0</v>
      </c>
      <c r="U27" s="127"/>
      <c r="V27" s="127"/>
      <c r="W27" s="127"/>
      <c r="X27" s="127">
        <v>0</v>
      </c>
      <c r="Y27" s="127"/>
      <c r="Z27" s="127"/>
      <c r="AA27" s="127"/>
      <c r="AB27" s="127">
        <v>0</v>
      </c>
      <c r="AC27" s="127"/>
      <c r="AD27" s="127"/>
      <c r="AE27" s="127"/>
      <c r="AF27" s="127"/>
      <c r="AG27" s="127">
        <v>0</v>
      </c>
      <c r="AH27" s="127"/>
      <c r="AI27" s="127"/>
      <c r="AJ27" s="127"/>
      <c r="AK27" s="127">
        <v>0</v>
      </c>
      <c r="AL27" s="127"/>
      <c r="AM27" s="127"/>
      <c r="AN27" s="127"/>
      <c r="AO27" s="127"/>
      <c r="AP27" s="127"/>
      <c r="AQ27" s="127"/>
      <c r="AR27" s="127"/>
      <c r="AS27" s="127"/>
      <c r="AT27" s="127">
        <v>0</v>
      </c>
      <c r="AU27" s="127"/>
      <c r="AV27" s="127"/>
      <c r="AW27" s="127">
        <v>1200</v>
      </c>
      <c r="AX27" s="127">
        <v>0</v>
      </c>
      <c r="AY27" s="127"/>
      <c r="AZ27" s="127">
        <v>1200</v>
      </c>
      <c r="BA27" s="127"/>
      <c r="BB27" s="127">
        <v>0</v>
      </c>
      <c r="BC27" s="127">
        <v>1200</v>
      </c>
      <c r="BD27" s="127"/>
      <c r="BE27" s="127"/>
      <c r="BF27" s="127">
        <v>1200</v>
      </c>
      <c r="BG27" s="127">
        <v>0</v>
      </c>
      <c r="BH27" s="127"/>
      <c r="BI27" s="127"/>
      <c r="BJ27" s="127"/>
      <c r="BK27" s="127">
        <v>0</v>
      </c>
      <c r="BL27" s="127"/>
      <c r="BM27" s="127"/>
      <c r="BN27" s="127"/>
      <c r="BO27" s="127"/>
      <c r="BP27" s="127" t="s">
        <v>316</v>
      </c>
      <c r="BQ27" s="127" t="s">
        <v>317</v>
      </c>
      <c r="BR27" s="127" t="s">
        <v>318</v>
      </c>
      <c r="BS27" s="127" t="s">
        <v>319</v>
      </c>
      <c r="BT27" s="127" t="s">
        <v>188</v>
      </c>
      <c r="BU27" s="127" t="s">
        <v>189</v>
      </c>
      <c r="BV27" s="127" t="s">
        <v>229</v>
      </c>
      <c r="BW27" s="127" t="s">
        <v>191</v>
      </c>
      <c r="BX27" s="127" t="s">
        <v>320</v>
      </c>
      <c r="BY27" s="127" t="s">
        <v>189</v>
      </c>
      <c r="BZ27" s="131" t="s">
        <v>321</v>
      </c>
    </row>
    <row r="28" spans="2:78" s="121" customFormat="1" outlineLevel="2">
      <c r="B28" s="121" t="s">
        <v>175</v>
      </c>
      <c r="C28" s="107" t="s">
        <v>294</v>
      </c>
      <c r="D28" s="107" t="s">
        <v>195</v>
      </c>
      <c r="F28" s="107" t="s">
        <v>245</v>
      </c>
      <c r="G28" s="107" t="s">
        <v>199</v>
      </c>
      <c r="H28" s="122" t="s">
        <v>322</v>
      </c>
      <c r="I28" s="124"/>
      <c r="J28" s="124"/>
      <c r="K28" s="124" t="s">
        <v>323</v>
      </c>
      <c r="L28" s="124" t="s">
        <v>234</v>
      </c>
      <c r="M28" s="125" t="s">
        <v>183</v>
      </c>
      <c r="N28" s="126">
        <f>SUM(O28:BO28)</f>
        <v>2400</v>
      </c>
      <c r="O28" s="127"/>
      <c r="P28" s="127"/>
      <c r="Q28" s="127"/>
      <c r="R28" s="130">
        <v>1200</v>
      </c>
      <c r="S28" s="130">
        <v>1200</v>
      </c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31"/>
    </row>
    <row r="29" spans="2:78" s="121" customFormat="1" outlineLevel="2">
      <c r="B29" s="121" t="s">
        <v>175</v>
      </c>
      <c r="C29" s="107" t="s">
        <v>294</v>
      </c>
      <c r="D29" s="107" t="s">
        <v>324</v>
      </c>
      <c r="F29" s="107" t="s">
        <v>221</v>
      </c>
      <c r="H29" s="147" t="s">
        <v>325</v>
      </c>
      <c r="I29" s="124"/>
      <c r="J29" s="124"/>
      <c r="K29" s="124"/>
      <c r="L29" s="124"/>
      <c r="M29" s="125" t="s">
        <v>183</v>
      </c>
      <c r="N29" s="126">
        <v>20000</v>
      </c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</row>
    <row r="30" spans="2:78" s="139" customFormat="1" outlineLevel="1">
      <c r="C30" s="140" t="s">
        <v>326</v>
      </c>
      <c r="H30" s="141"/>
      <c r="I30" s="141"/>
      <c r="J30" s="141"/>
      <c r="K30" s="141"/>
      <c r="L30" s="141"/>
      <c r="M30" s="142"/>
      <c r="N30" s="143">
        <f t="shared" ref="N30:BO30" si="4">SUBTOTAL(9,N25:N29)</f>
        <v>39600</v>
      </c>
      <c r="O30" s="144">
        <f t="shared" si="4"/>
        <v>0</v>
      </c>
      <c r="P30" s="144">
        <f t="shared" si="4"/>
        <v>0</v>
      </c>
      <c r="Q30" s="144">
        <f t="shared" si="4"/>
        <v>0</v>
      </c>
      <c r="R30" s="144">
        <f t="shared" si="4"/>
        <v>1200</v>
      </c>
      <c r="S30" s="144">
        <f t="shared" si="4"/>
        <v>1200</v>
      </c>
      <c r="T30" s="144">
        <f t="shared" si="4"/>
        <v>0</v>
      </c>
      <c r="U30" s="144">
        <f t="shared" si="4"/>
        <v>0</v>
      </c>
      <c r="V30" s="144">
        <f t="shared" si="4"/>
        <v>0</v>
      </c>
      <c r="W30" s="144">
        <f t="shared" si="4"/>
        <v>0</v>
      </c>
      <c r="X30" s="144">
        <f t="shared" si="4"/>
        <v>0</v>
      </c>
      <c r="Y30" s="144">
        <f t="shared" si="4"/>
        <v>0</v>
      </c>
      <c r="Z30" s="144">
        <f t="shared" si="4"/>
        <v>0</v>
      </c>
      <c r="AA30" s="144">
        <f t="shared" si="4"/>
        <v>0</v>
      </c>
      <c r="AB30" s="144">
        <f t="shared" si="4"/>
        <v>0</v>
      </c>
      <c r="AC30" s="144">
        <f t="shared" si="4"/>
        <v>0</v>
      </c>
      <c r="AD30" s="144">
        <f t="shared" si="4"/>
        <v>0</v>
      </c>
      <c r="AE30" s="144">
        <f t="shared" si="4"/>
        <v>0</v>
      </c>
      <c r="AF30" s="144">
        <f t="shared" si="4"/>
        <v>0</v>
      </c>
      <c r="AG30" s="144">
        <f t="shared" si="4"/>
        <v>0</v>
      </c>
      <c r="AH30" s="144">
        <f t="shared" si="4"/>
        <v>0</v>
      </c>
      <c r="AI30" s="144">
        <f t="shared" si="4"/>
        <v>0</v>
      </c>
      <c r="AJ30" s="144">
        <f t="shared" si="4"/>
        <v>0</v>
      </c>
      <c r="AK30" s="144">
        <f t="shared" si="4"/>
        <v>0</v>
      </c>
      <c r="AL30" s="144">
        <f t="shared" si="4"/>
        <v>0</v>
      </c>
      <c r="AM30" s="144">
        <f t="shared" si="4"/>
        <v>0</v>
      </c>
      <c r="AN30" s="144">
        <f t="shared" si="4"/>
        <v>0</v>
      </c>
      <c r="AO30" s="144">
        <f t="shared" si="4"/>
        <v>0</v>
      </c>
      <c r="AP30" s="144">
        <f t="shared" si="4"/>
        <v>0</v>
      </c>
      <c r="AQ30" s="144">
        <f t="shared" si="4"/>
        <v>0</v>
      </c>
      <c r="AR30" s="144">
        <f t="shared" si="4"/>
        <v>0</v>
      </c>
      <c r="AS30" s="144">
        <f t="shared" si="4"/>
        <v>0</v>
      </c>
      <c r="AT30" s="144">
        <f t="shared" si="4"/>
        <v>0</v>
      </c>
      <c r="AU30" s="144">
        <f t="shared" si="4"/>
        <v>0</v>
      </c>
      <c r="AV30" s="144">
        <f t="shared" si="4"/>
        <v>0</v>
      </c>
      <c r="AW30" s="144">
        <f t="shared" si="4"/>
        <v>1200</v>
      </c>
      <c r="AX30" s="144">
        <f t="shared" si="4"/>
        <v>0</v>
      </c>
      <c r="AY30" s="144">
        <f t="shared" si="4"/>
        <v>1000</v>
      </c>
      <c r="AZ30" s="144">
        <f t="shared" si="4"/>
        <v>2200</v>
      </c>
      <c r="BA30" s="144">
        <f t="shared" si="4"/>
        <v>1000</v>
      </c>
      <c r="BB30" s="144">
        <f t="shared" si="4"/>
        <v>2200</v>
      </c>
      <c r="BC30" s="144">
        <f t="shared" si="4"/>
        <v>1200</v>
      </c>
      <c r="BD30" s="144">
        <f t="shared" si="4"/>
        <v>2200</v>
      </c>
      <c r="BE30" s="144">
        <f t="shared" si="4"/>
        <v>1000</v>
      </c>
      <c r="BF30" s="144">
        <f t="shared" si="4"/>
        <v>2200</v>
      </c>
      <c r="BG30" s="144">
        <f t="shared" si="4"/>
        <v>1000</v>
      </c>
      <c r="BH30" s="144">
        <f t="shared" si="4"/>
        <v>1000</v>
      </c>
      <c r="BI30" s="144">
        <f t="shared" si="4"/>
        <v>1000</v>
      </c>
      <c r="BJ30" s="144">
        <f t="shared" si="4"/>
        <v>0</v>
      </c>
      <c r="BK30" s="144">
        <f t="shared" si="4"/>
        <v>0</v>
      </c>
      <c r="BL30" s="144">
        <f t="shared" si="4"/>
        <v>0</v>
      </c>
      <c r="BM30" s="144">
        <f t="shared" si="4"/>
        <v>0</v>
      </c>
      <c r="BN30" s="144">
        <f t="shared" si="4"/>
        <v>0</v>
      </c>
      <c r="BO30" s="144">
        <f t="shared" si="4"/>
        <v>0</v>
      </c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>
        <f>SUBTOTAL(9,BZ25:BZ27)</f>
        <v>0</v>
      </c>
    </row>
    <row r="31" spans="2:78" s="121" customFormat="1" outlineLevel="2">
      <c r="B31" s="121" t="s">
        <v>175</v>
      </c>
      <c r="C31" s="121" t="s">
        <v>327</v>
      </c>
      <c r="D31" s="107" t="s">
        <v>195</v>
      </c>
      <c r="F31" s="107" t="s">
        <v>245</v>
      </c>
      <c r="G31" s="107" t="s">
        <v>199</v>
      </c>
      <c r="H31" s="122" t="s">
        <v>283</v>
      </c>
      <c r="I31" s="124"/>
      <c r="J31" s="124"/>
      <c r="K31" s="124" t="s">
        <v>284</v>
      </c>
      <c r="L31" s="124" t="s">
        <v>234</v>
      </c>
      <c r="M31" s="125" t="s">
        <v>183</v>
      </c>
      <c r="N31" s="126">
        <f t="shared" ref="N31:N41" si="5">SUM(O31:BO31)</f>
        <v>3600</v>
      </c>
      <c r="O31" s="127"/>
      <c r="P31" s="127"/>
      <c r="Q31" s="127"/>
      <c r="R31" s="127"/>
      <c r="S31" s="127"/>
      <c r="T31" s="127">
        <v>0</v>
      </c>
      <c r="U31" s="127"/>
      <c r="V31" s="127"/>
      <c r="W31" s="127"/>
      <c r="X31" s="127">
        <v>0</v>
      </c>
      <c r="Y31" s="127"/>
      <c r="Z31" s="127"/>
      <c r="AA31" s="127"/>
      <c r="AB31" s="127"/>
      <c r="AC31" s="127"/>
      <c r="AD31" s="127"/>
      <c r="AE31" s="127"/>
      <c r="AF31" s="130">
        <v>1200</v>
      </c>
      <c r="AG31" s="127">
        <v>0</v>
      </c>
      <c r="AH31" s="130">
        <v>1200</v>
      </c>
      <c r="AI31" s="130">
        <v>1200</v>
      </c>
      <c r="AJ31" s="127"/>
      <c r="AK31" s="127">
        <v>0</v>
      </c>
      <c r="AL31" s="127"/>
      <c r="AM31" s="127"/>
      <c r="AN31" s="127"/>
      <c r="AO31" s="127">
        <v>0</v>
      </c>
      <c r="AP31" s="127"/>
      <c r="AQ31" s="127"/>
      <c r="AR31" s="127"/>
      <c r="AS31" s="127"/>
      <c r="AT31" s="127">
        <v>0</v>
      </c>
      <c r="AU31" s="127"/>
      <c r="AV31" s="127"/>
      <c r="AW31" s="127"/>
      <c r="AX31" s="127">
        <v>0</v>
      </c>
      <c r="AY31" s="127"/>
      <c r="AZ31" s="127"/>
      <c r="BA31" s="127"/>
      <c r="BB31" s="127">
        <v>0</v>
      </c>
      <c r="BC31" s="127"/>
      <c r="BD31" s="127"/>
      <c r="BE31" s="127"/>
      <c r="BF31" s="127"/>
      <c r="BG31" s="127">
        <v>0</v>
      </c>
      <c r="BH31" s="127"/>
      <c r="BI31" s="127"/>
      <c r="BJ31" s="127"/>
      <c r="BK31" s="127">
        <v>0</v>
      </c>
      <c r="BL31" s="127"/>
      <c r="BM31" s="127"/>
      <c r="BN31" s="127"/>
      <c r="BO31" s="127"/>
      <c r="BP31" s="127" t="s">
        <v>285</v>
      </c>
      <c r="BQ31" s="127" t="s">
        <v>236</v>
      </c>
      <c r="BR31" s="127" t="s">
        <v>286</v>
      </c>
      <c r="BS31" s="127" t="s">
        <v>287</v>
      </c>
      <c r="BT31" s="127" t="s">
        <v>188</v>
      </c>
      <c r="BU31" s="127" t="s">
        <v>189</v>
      </c>
      <c r="BV31" s="127" t="s">
        <v>205</v>
      </c>
      <c r="BW31" s="127" t="s">
        <v>191</v>
      </c>
      <c r="BX31" s="127" t="s">
        <v>189</v>
      </c>
      <c r="BY31" s="127" t="s">
        <v>189</v>
      </c>
      <c r="BZ31" s="127" t="s">
        <v>288</v>
      </c>
    </row>
    <row r="32" spans="2:78" s="121" customFormat="1" outlineLevel="2">
      <c r="B32" s="121" t="s">
        <v>175</v>
      </c>
      <c r="C32" s="121" t="s">
        <v>327</v>
      </c>
      <c r="D32" s="107" t="s">
        <v>195</v>
      </c>
      <c r="F32" s="107" t="s">
        <v>245</v>
      </c>
      <c r="G32" s="107"/>
      <c r="H32" s="124" t="s">
        <v>328</v>
      </c>
      <c r="I32" s="124"/>
      <c r="J32" s="124"/>
      <c r="K32" s="124" t="s">
        <v>284</v>
      </c>
      <c r="L32" s="124" t="s">
        <v>234</v>
      </c>
      <c r="M32" s="125" t="s">
        <v>183</v>
      </c>
      <c r="N32" s="126">
        <f t="shared" si="5"/>
        <v>9000</v>
      </c>
      <c r="O32" s="127">
        <v>0</v>
      </c>
      <c r="P32" s="127"/>
      <c r="Q32" s="127"/>
      <c r="R32" s="127"/>
      <c r="S32" s="127"/>
      <c r="T32" s="127">
        <v>0</v>
      </c>
      <c r="U32" s="127"/>
      <c r="V32" s="127"/>
      <c r="W32" s="127"/>
      <c r="X32" s="127">
        <v>0</v>
      </c>
      <c r="Y32" s="127"/>
      <c r="Z32" s="127"/>
      <c r="AA32" s="130">
        <v>1000</v>
      </c>
      <c r="AB32" s="127">
        <v>1000</v>
      </c>
      <c r="AC32" s="127">
        <v>1000</v>
      </c>
      <c r="AD32" s="127">
        <v>1000</v>
      </c>
      <c r="AE32" s="127">
        <v>1000</v>
      </c>
      <c r="AF32" s="127">
        <v>1000</v>
      </c>
      <c r="AG32" s="127">
        <v>1000</v>
      </c>
      <c r="AH32" s="127">
        <v>1000</v>
      </c>
      <c r="AI32" s="127">
        <v>1000</v>
      </c>
      <c r="AJ32" s="127"/>
      <c r="AK32" s="127">
        <v>0</v>
      </c>
      <c r="AL32" s="127"/>
      <c r="AM32" s="127"/>
      <c r="AN32" s="127"/>
      <c r="AO32" s="127">
        <v>0</v>
      </c>
      <c r="AP32" s="127"/>
      <c r="AQ32" s="127"/>
      <c r="AR32" s="127"/>
      <c r="AS32" s="127"/>
      <c r="AT32" s="127">
        <v>0</v>
      </c>
      <c r="AU32" s="127"/>
      <c r="AV32" s="127"/>
      <c r="AW32" s="127"/>
      <c r="AX32" s="127">
        <v>0</v>
      </c>
      <c r="AY32" s="127"/>
      <c r="AZ32" s="127"/>
      <c r="BA32" s="127"/>
      <c r="BB32" s="127">
        <v>0</v>
      </c>
      <c r="BC32" s="127"/>
      <c r="BD32" s="127"/>
      <c r="BE32" s="127"/>
      <c r="BF32" s="127"/>
      <c r="BG32" s="127">
        <v>0</v>
      </c>
      <c r="BH32" s="127"/>
      <c r="BI32" s="127"/>
      <c r="BJ32" s="127"/>
      <c r="BK32" s="127">
        <v>0</v>
      </c>
      <c r="BL32" s="127"/>
      <c r="BM32" s="127"/>
      <c r="BN32" s="127"/>
      <c r="BO32" s="127"/>
      <c r="BP32" s="127" t="s">
        <v>329</v>
      </c>
      <c r="BQ32" s="127" t="s">
        <v>236</v>
      </c>
      <c r="BR32" s="127" t="s">
        <v>330</v>
      </c>
      <c r="BS32" s="127" t="s">
        <v>331</v>
      </c>
      <c r="BT32" s="127" t="s">
        <v>188</v>
      </c>
      <c r="BU32" s="127" t="s">
        <v>189</v>
      </c>
      <c r="BV32" s="127" t="s">
        <v>229</v>
      </c>
      <c r="BW32" s="127" t="s">
        <v>191</v>
      </c>
      <c r="BX32" s="127" t="s">
        <v>332</v>
      </c>
      <c r="BY32" s="127" t="s">
        <v>189</v>
      </c>
      <c r="BZ32" s="127" t="s">
        <v>333</v>
      </c>
    </row>
    <row r="33" spans="2:78" s="121" customFormat="1" outlineLevel="2">
      <c r="B33" s="121" t="s">
        <v>175</v>
      </c>
      <c r="C33" s="121" t="s">
        <v>327</v>
      </c>
      <c r="D33" s="107" t="s">
        <v>195</v>
      </c>
      <c r="F33" s="107" t="s">
        <v>334</v>
      </c>
      <c r="G33" s="107"/>
      <c r="H33" s="122" t="s">
        <v>281</v>
      </c>
      <c r="I33" s="124" t="s">
        <v>282</v>
      </c>
      <c r="J33" s="124"/>
      <c r="K33" s="124" t="s">
        <v>335</v>
      </c>
      <c r="L33" s="124" t="s">
        <v>234</v>
      </c>
      <c r="M33" s="125" t="s">
        <v>183</v>
      </c>
      <c r="N33" s="126">
        <f t="shared" si="5"/>
        <v>18000</v>
      </c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>
        <v>2000</v>
      </c>
      <c r="AO33" s="127">
        <v>2000</v>
      </c>
      <c r="AP33" s="127">
        <v>2000</v>
      </c>
      <c r="AQ33" s="127">
        <v>2000</v>
      </c>
      <c r="AR33" s="127">
        <v>2000</v>
      </c>
      <c r="AS33" s="127">
        <v>2000</v>
      </c>
      <c r="AT33" s="127">
        <v>2000</v>
      </c>
      <c r="AU33" s="127">
        <v>2000</v>
      </c>
      <c r="AV33" s="127">
        <v>2000</v>
      </c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</row>
    <row r="34" spans="2:78" s="121" customFormat="1" outlineLevel="2">
      <c r="B34" s="121" t="s">
        <v>175</v>
      </c>
      <c r="C34" s="121" t="s">
        <v>327</v>
      </c>
      <c r="D34" s="107" t="s">
        <v>195</v>
      </c>
      <c r="F34" s="107" t="s">
        <v>334</v>
      </c>
      <c r="G34" s="107"/>
      <c r="H34" s="122" t="s">
        <v>281</v>
      </c>
      <c r="I34" s="124" t="s">
        <v>282</v>
      </c>
      <c r="J34" s="124"/>
      <c r="K34" s="124" t="s">
        <v>336</v>
      </c>
      <c r="L34" s="124" t="s">
        <v>234</v>
      </c>
      <c r="M34" s="125" t="s">
        <v>183</v>
      </c>
      <c r="N34" s="126">
        <f>SUM(O34:BO34)</f>
        <v>1000</v>
      </c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>
        <v>1000</v>
      </c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</row>
    <row r="35" spans="2:78" s="121" customFormat="1" outlineLevel="2">
      <c r="B35" s="121" t="s">
        <v>175</v>
      </c>
      <c r="C35" s="121" t="s">
        <v>327</v>
      </c>
      <c r="D35" s="107" t="s">
        <v>195</v>
      </c>
      <c r="F35" s="107" t="s">
        <v>245</v>
      </c>
      <c r="H35" s="122" t="s">
        <v>337</v>
      </c>
      <c r="I35" s="124"/>
      <c r="J35" s="124"/>
      <c r="K35" s="124" t="s">
        <v>338</v>
      </c>
      <c r="L35" s="124" t="s">
        <v>234</v>
      </c>
      <c r="M35" s="125" t="s">
        <v>183</v>
      </c>
      <c r="N35" s="126">
        <f t="shared" si="5"/>
        <v>1200</v>
      </c>
      <c r="O35" s="127"/>
      <c r="P35" s="127"/>
      <c r="Q35" s="127"/>
      <c r="R35" s="127"/>
      <c r="S35" s="127"/>
      <c r="T35" s="127">
        <v>1200</v>
      </c>
      <c r="U35" s="127"/>
      <c r="V35" s="127"/>
      <c r="W35" s="127"/>
      <c r="X35" s="127">
        <v>0</v>
      </c>
      <c r="Y35" s="127"/>
      <c r="Z35" s="127"/>
      <c r="AA35" s="127"/>
      <c r="AB35" s="127">
        <v>0</v>
      </c>
      <c r="AC35" s="127"/>
      <c r="AD35" s="127"/>
      <c r="AE35" s="127"/>
      <c r="AF35" s="127"/>
      <c r="AG35" s="127">
        <v>0</v>
      </c>
      <c r="AH35" s="127"/>
      <c r="AI35" s="127"/>
      <c r="AJ35" s="127"/>
      <c r="AK35" s="127">
        <v>0</v>
      </c>
      <c r="AL35" s="127"/>
      <c r="AM35" s="127"/>
      <c r="AN35" s="127"/>
      <c r="AO35" s="127">
        <v>0</v>
      </c>
      <c r="AP35" s="127"/>
      <c r="AQ35" s="127"/>
      <c r="AR35" s="127"/>
      <c r="AS35" s="127"/>
      <c r="AT35" s="127">
        <v>0</v>
      </c>
      <c r="AU35" s="127"/>
      <c r="AV35" s="127"/>
      <c r="AW35" s="127"/>
      <c r="AX35" s="127">
        <v>0</v>
      </c>
      <c r="AY35" s="127"/>
      <c r="AZ35" s="127"/>
      <c r="BA35" s="127"/>
      <c r="BB35" s="127">
        <v>0</v>
      </c>
      <c r="BC35" s="127"/>
      <c r="BD35" s="127"/>
      <c r="BE35" s="127"/>
      <c r="BF35" s="127"/>
      <c r="BG35" s="127">
        <v>0</v>
      </c>
      <c r="BH35" s="127"/>
      <c r="BI35" s="127"/>
      <c r="BJ35" s="127"/>
      <c r="BK35" s="127">
        <v>0</v>
      </c>
      <c r="BL35" s="127"/>
      <c r="BM35" s="127"/>
      <c r="BN35" s="127"/>
      <c r="BO35" s="127"/>
      <c r="BP35" s="127" t="s">
        <v>339</v>
      </c>
      <c r="BQ35" s="127" t="s">
        <v>340</v>
      </c>
      <c r="BR35" s="127" t="s">
        <v>341</v>
      </c>
      <c r="BS35" s="127" t="s">
        <v>342</v>
      </c>
      <c r="BT35" s="127" t="s">
        <v>188</v>
      </c>
      <c r="BU35" s="127" t="s">
        <v>189</v>
      </c>
      <c r="BV35" s="127" t="s">
        <v>205</v>
      </c>
      <c r="BW35" s="127" t="s">
        <v>343</v>
      </c>
      <c r="BX35" s="127" t="s">
        <v>189</v>
      </c>
      <c r="BY35" s="127" t="s">
        <v>189</v>
      </c>
      <c r="BZ35" s="131" t="s">
        <v>344</v>
      </c>
    </row>
    <row r="36" spans="2:78" s="121" customFormat="1" outlineLevel="2">
      <c r="B36" s="121" t="s">
        <v>175</v>
      </c>
      <c r="C36" s="121" t="s">
        <v>327</v>
      </c>
      <c r="D36" s="102" t="s">
        <v>195</v>
      </c>
      <c r="F36" s="121" t="s">
        <v>88</v>
      </c>
      <c r="G36" s="107" t="s">
        <v>199</v>
      </c>
      <c r="H36" s="122" t="s">
        <v>345</v>
      </c>
      <c r="I36" s="124"/>
      <c r="J36" s="124"/>
      <c r="K36" s="124" t="s">
        <v>346</v>
      </c>
      <c r="L36" s="124" t="s">
        <v>224</v>
      </c>
      <c r="M36" s="125" t="s">
        <v>183</v>
      </c>
      <c r="N36" s="126">
        <f t="shared" si="5"/>
        <v>2400</v>
      </c>
      <c r="O36" s="127"/>
      <c r="P36" s="127"/>
      <c r="Q36" s="127"/>
      <c r="R36" s="127"/>
      <c r="S36" s="127"/>
      <c r="T36" s="127">
        <v>0</v>
      </c>
      <c r="U36" s="127"/>
      <c r="V36" s="127"/>
      <c r="W36" s="127"/>
      <c r="X36" s="127">
        <v>0</v>
      </c>
      <c r="Y36" s="127"/>
      <c r="Z36" s="127"/>
      <c r="AA36" s="127"/>
      <c r="AB36" s="127">
        <v>0</v>
      </c>
      <c r="AC36" s="127"/>
      <c r="AD36" s="127"/>
      <c r="AE36" s="127"/>
      <c r="AF36" s="127"/>
      <c r="AG36" s="127">
        <v>0</v>
      </c>
      <c r="AH36" s="127"/>
      <c r="AI36" s="127"/>
      <c r="AJ36" s="127"/>
      <c r="AK36" s="127">
        <v>0</v>
      </c>
      <c r="AL36" s="127"/>
      <c r="AM36" s="127"/>
      <c r="AN36" s="127"/>
      <c r="AO36" s="127">
        <v>0</v>
      </c>
      <c r="AP36" s="127"/>
      <c r="AQ36" s="127"/>
      <c r="AR36" s="127"/>
      <c r="AS36" s="127"/>
      <c r="AT36" s="127">
        <v>0</v>
      </c>
      <c r="AU36" s="127"/>
      <c r="AV36" s="127"/>
      <c r="AW36" s="130">
        <v>1200</v>
      </c>
      <c r="AX36" s="127">
        <v>0</v>
      </c>
      <c r="AY36" s="127"/>
      <c r="AZ36" s="127"/>
      <c r="BA36" s="127"/>
      <c r="BB36" s="127">
        <v>0</v>
      </c>
      <c r="BC36" s="127"/>
      <c r="BD36" s="127"/>
      <c r="BE36" s="127"/>
      <c r="BF36" s="127"/>
      <c r="BG36" s="127">
        <v>0</v>
      </c>
      <c r="BH36" s="130">
        <v>1200</v>
      </c>
      <c r="BI36" s="127"/>
      <c r="BJ36" s="127"/>
      <c r="BK36" s="127">
        <v>0</v>
      </c>
      <c r="BL36" s="127"/>
      <c r="BM36" s="127"/>
      <c r="BN36" s="127"/>
      <c r="BO36" s="127"/>
      <c r="BP36" s="127" t="s">
        <v>347</v>
      </c>
      <c r="BQ36" s="127" t="s">
        <v>236</v>
      </c>
      <c r="BR36" s="127" t="s">
        <v>189</v>
      </c>
      <c r="BS36" s="127" t="s">
        <v>189</v>
      </c>
      <c r="BT36" s="127" t="s">
        <v>188</v>
      </c>
      <c r="BU36" s="127" t="s">
        <v>189</v>
      </c>
      <c r="BV36" s="127" t="s">
        <v>205</v>
      </c>
      <c r="BW36" s="127" t="s">
        <v>343</v>
      </c>
      <c r="BX36" s="127" t="s">
        <v>189</v>
      </c>
      <c r="BY36" s="127" t="s">
        <v>189</v>
      </c>
      <c r="BZ36" s="127" t="s">
        <v>348</v>
      </c>
    </row>
    <row r="37" spans="2:78" s="121" customFormat="1" outlineLevel="2">
      <c r="B37" s="121" t="s">
        <v>175</v>
      </c>
      <c r="C37" s="121" t="s">
        <v>327</v>
      </c>
      <c r="D37" s="107" t="s">
        <v>195</v>
      </c>
      <c r="E37" s="107"/>
      <c r="F37" s="107" t="s">
        <v>245</v>
      </c>
      <c r="G37" s="107" t="s">
        <v>349</v>
      </c>
      <c r="H37" s="124" t="s">
        <v>350</v>
      </c>
      <c r="I37" s="124" t="s">
        <v>290</v>
      </c>
      <c r="J37" s="124"/>
      <c r="K37" s="124" t="s">
        <v>351</v>
      </c>
      <c r="L37" s="124" t="s">
        <v>234</v>
      </c>
      <c r="M37" s="125" t="s">
        <v>183</v>
      </c>
      <c r="N37" s="126">
        <f t="shared" si="5"/>
        <v>0</v>
      </c>
      <c r="O37" s="127">
        <v>0</v>
      </c>
      <c r="P37" s="127"/>
      <c r="Q37" s="127"/>
      <c r="R37" s="127"/>
      <c r="S37" s="127"/>
      <c r="T37" s="127">
        <v>0</v>
      </c>
      <c r="U37" s="127"/>
      <c r="V37" s="127"/>
      <c r="W37" s="127"/>
      <c r="X37" s="127">
        <v>0</v>
      </c>
      <c r="Y37" s="127"/>
      <c r="Z37" s="127"/>
      <c r="AA37" s="127"/>
      <c r="AB37" s="127">
        <v>0</v>
      </c>
      <c r="AC37" s="127"/>
      <c r="AD37" s="127"/>
      <c r="AE37" s="127"/>
      <c r="AF37" s="127"/>
      <c r="AG37" s="127">
        <v>0</v>
      </c>
      <c r="AH37" s="127"/>
      <c r="AI37" s="127"/>
      <c r="AJ37" s="127"/>
      <c r="AK37" s="127">
        <v>0</v>
      </c>
      <c r="AL37" s="127"/>
      <c r="AM37" s="127"/>
      <c r="AN37" s="127"/>
      <c r="AO37" s="127">
        <v>0</v>
      </c>
      <c r="AP37" s="127"/>
      <c r="AQ37" s="127"/>
      <c r="AR37" s="127"/>
      <c r="AS37" s="127"/>
      <c r="AT37" s="127">
        <v>0</v>
      </c>
      <c r="AU37" s="127"/>
      <c r="AV37" s="127"/>
      <c r="AW37" s="127"/>
      <c r="AX37" s="127">
        <v>0</v>
      </c>
      <c r="AY37" s="127"/>
      <c r="AZ37" s="127"/>
      <c r="BA37" s="127"/>
      <c r="BB37" s="127">
        <v>0</v>
      </c>
      <c r="BC37" s="127"/>
      <c r="BD37" s="127"/>
      <c r="BE37" s="127"/>
      <c r="BF37" s="127"/>
      <c r="BG37" s="127">
        <v>0</v>
      </c>
      <c r="BH37" s="127"/>
      <c r="BI37" s="127"/>
      <c r="BJ37" s="127"/>
      <c r="BK37" s="127">
        <v>0</v>
      </c>
      <c r="BL37" s="127"/>
      <c r="BM37" s="127"/>
      <c r="BN37" s="127"/>
      <c r="BO37" s="127"/>
      <c r="BP37" s="127" t="s">
        <v>352</v>
      </c>
      <c r="BQ37" s="127" t="s">
        <v>236</v>
      </c>
      <c r="BR37" s="127" t="s">
        <v>353</v>
      </c>
      <c r="BS37" s="127" t="s">
        <v>354</v>
      </c>
      <c r="BT37" s="127" t="s">
        <v>188</v>
      </c>
      <c r="BU37" s="127" t="s">
        <v>189</v>
      </c>
      <c r="BV37" s="127" t="s">
        <v>229</v>
      </c>
      <c r="BW37" s="127" t="s">
        <v>191</v>
      </c>
      <c r="BX37" s="127" t="s">
        <v>355</v>
      </c>
      <c r="BY37" s="127" t="s">
        <v>189</v>
      </c>
      <c r="BZ37" s="127" t="s">
        <v>356</v>
      </c>
    </row>
    <row r="38" spans="2:78" s="121" customFormat="1" outlineLevel="2">
      <c r="B38" s="121" t="s">
        <v>175</v>
      </c>
      <c r="C38" s="121" t="s">
        <v>327</v>
      </c>
      <c r="D38" s="102" t="s">
        <v>195</v>
      </c>
      <c r="F38" s="107" t="s">
        <v>245</v>
      </c>
      <c r="G38" s="107"/>
      <c r="H38" s="122" t="s">
        <v>289</v>
      </c>
      <c r="I38" s="124" t="s">
        <v>290</v>
      </c>
      <c r="J38" s="129"/>
      <c r="K38" s="124" t="s">
        <v>292</v>
      </c>
      <c r="L38" s="124" t="s">
        <v>234</v>
      </c>
      <c r="M38" s="125" t="s">
        <v>249</v>
      </c>
      <c r="N38" s="126">
        <f t="shared" si="5"/>
        <v>2400</v>
      </c>
      <c r="O38" s="127"/>
      <c r="P38" s="127"/>
      <c r="Q38" s="127"/>
      <c r="R38" s="127"/>
      <c r="S38" s="127"/>
      <c r="T38" s="127"/>
      <c r="U38" s="127"/>
      <c r="V38" s="127"/>
      <c r="W38" s="130">
        <v>1200</v>
      </c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>
        <v>1200</v>
      </c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</row>
    <row r="39" spans="2:78" s="121" customFormat="1" outlineLevel="2">
      <c r="B39" s="121" t="s">
        <v>175</v>
      </c>
      <c r="C39" s="121" t="s">
        <v>327</v>
      </c>
      <c r="D39" s="102" t="s">
        <v>195</v>
      </c>
      <c r="F39" s="107" t="s">
        <v>245</v>
      </c>
      <c r="G39" s="107"/>
      <c r="H39" s="122" t="s">
        <v>289</v>
      </c>
      <c r="I39" s="124" t="s">
        <v>290</v>
      </c>
      <c r="J39" s="129"/>
      <c r="K39" s="124" t="s">
        <v>284</v>
      </c>
      <c r="L39" s="124" t="s">
        <v>234</v>
      </c>
      <c r="M39" s="125" t="s">
        <v>249</v>
      </c>
      <c r="N39" s="126">
        <f t="shared" si="5"/>
        <v>2400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30">
        <v>1200</v>
      </c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>
        <v>1200</v>
      </c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</row>
    <row r="40" spans="2:78" s="121" customFormat="1" outlineLevel="2">
      <c r="B40" s="121" t="s">
        <v>175</v>
      </c>
      <c r="C40" s="121" t="s">
        <v>327</v>
      </c>
      <c r="D40" s="102" t="s">
        <v>195</v>
      </c>
      <c r="F40" s="107" t="s">
        <v>245</v>
      </c>
      <c r="G40" s="107"/>
      <c r="H40" s="122" t="s">
        <v>289</v>
      </c>
      <c r="I40" s="124" t="s">
        <v>290</v>
      </c>
      <c r="J40" s="129"/>
      <c r="K40" s="124" t="s">
        <v>233</v>
      </c>
      <c r="L40" s="124" t="s">
        <v>234</v>
      </c>
      <c r="M40" s="125" t="s">
        <v>249</v>
      </c>
      <c r="N40" s="126">
        <f t="shared" si="5"/>
        <v>4800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30">
        <v>1200</v>
      </c>
      <c r="Z40" s="127">
        <v>1200</v>
      </c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>
        <v>1200</v>
      </c>
      <c r="BA40" s="127"/>
      <c r="BB40" s="127"/>
      <c r="BC40" s="127">
        <v>1200</v>
      </c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</row>
    <row r="41" spans="2:78" s="121" customFormat="1" outlineLevel="2">
      <c r="B41" s="121" t="s">
        <v>175</v>
      </c>
      <c r="C41" s="121" t="s">
        <v>327</v>
      </c>
      <c r="D41" s="102" t="s">
        <v>195</v>
      </c>
      <c r="F41" s="107" t="s">
        <v>357</v>
      </c>
      <c r="G41" s="107"/>
      <c r="H41" s="122" t="s">
        <v>289</v>
      </c>
      <c r="I41" s="124" t="s">
        <v>290</v>
      </c>
      <c r="J41" s="129"/>
      <c r="K41" s="124" t="s">
        <v>248</v>
      </c>
      <c r="L41" s="124" t="s">
        <v>234</v>
      </c>
      <c r="M41" s="125" t="s">
        <v>249</v>
      </c>
      <c r="N41" s="126">
        <f t="shared" si="5"/>
        <v>6000</v>
      </c>
      <c r="O41" s="127"/>
      <c r="P41" s="127"/>
      <c r="Q41" s="127"/>
      <c r="R41" s="127"/>
      <c r="S41" s="127"/>
      <c r="T41" s="127"/>
      <c r="U41" s="127"/>
      <c r="V41" s="127"/>
      <c r="W41" s="127"/>
      <c r="X41" s="130">
        <v>1200</v>
      </c>
      <c r="Y41" s="130">
        <v>1200</v>
      </c>
      <c r="Z41" s="130">
        <v>1200</v>
      </c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>
        <v>1200</v>
      </c>
      <c r="AY41" s="127">
        <v>1200</v>
      </c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</row>
    <row r="42" spans="2:78" s="121" customFormat="1" outlineLevel="2">
      <c r="B42" s="121" t="s">
        <v>175</v>
      </c>
      <c r="C42" s="121" t="s">
        <v>327</v>
      </c>
      <c r="D42" s="107" t="s">
        <v>177</v>
      </c>
      <c r="E42" s="102"/>
      <c r="F42" s="107" t="s">
        <v>221</v>
      </c>
      <c r="G42" s="107"/>
      <c r="H42" s="147" t="s">
        <v>358</v>
      </c>
      <c r="I42" s="129"/>
      <c r="J42" s="129"/>
      <c r="K42" s="124"/>
      <c r="L42" s="124"/>
      <c r="M42" s="125" t="s">
        <v>183</v>
      </c>
      <c r="N42" s="124">
        <v>10000</v>
      </c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</row>
    <row r="43" spans="2:78" s="139" customFormat="1" outlineLevel="1">
      <c r="C43" s="140" t="s">
        <v>359</v>
      </c>
      <c r="E43" s="139" t="s">
        <v>360</v>
      </c>
      <c r="H43" s="141"/>
      <c r="I43" s="141"/>
      <c r="J43" s="141"/>
      <c r="K43" s="141"/>
      <c r="L43" s="141"/>
      <c r="M43" s="142"/>
      <c r="N43" s="143">
        <f t="shared" ref="N43:BO43" si="6">SUBTOTAL(9,N31:N42)</f>
        <v>60800</v>
      </c>
      <c r="O43" s="144">
        <f t="shared" si="6"/>
        <v>0</v>
      </c>
      <c r="P43" s="144">
        <f t="shared" si="6"/>
        <v>0</v>
      </c>
      <c r="Q43" s="144">
        <f t="shared" si="6"/>
        <v>0</v>
      </c>
      <c r="R43" s="144">
        <f t="shared" si="6"/>
        <v>0</v>
      </c>
      <c r="S43" s="144">
        <f t="shared" si="6"/>
        <v>0</v>
      </c>
      <c r="T43" s="144">
        <f t="shared" si="6"/>
        <v>1200</v>
      </c>
      <c r="U43" s="144">
        <f t="shared" si="6"/>
        <v>0</v>
      </c>
      <c r="V43" s="144">
        <f t="shared" si="6"/>
        <v>0</v>
      </c>
      <c r="W43" s="144">
        <f t="shared" si="6"/>
        <v>1200</v>
      </c>
      <c r="X43" s="144">
        <f t="shared" si="6"/>
        <v>2400</v>
      </c>
      <c r="Y43" s="144">
        <f t="shared" si="6"/>
        <v>2400</v>
      </c>
      <c r="Z43" s="144">
        <f t="shared" si="6"/>
        <v>2400</v>
      </c>
      <c r="AA43" s="144">
        <f t="shared" si="6"/>
        <v>1000</v>
      </c>
      <c r="AB43" s="144">
        <f t="shared" si="6"/>
        <v>1000</v>
      </c>
      <c r="AC43" s="144">
        <f t="shared" si="6"/>
        <v>1000</v>
      </c>
      <c r="AD43" s="144">
        <f t="shared" si="6"/>
        <v>1000</v>
      </c>
      <c r="AE43" s="144">
        <f t="shared" si="6"/>
        <v>1000</v>
      </c>
      <c r="AF43" s="144">
        <f t="shared" si="6"/>
        <v>2200</v>
      </c>
      <c r="AG43" s="144">
        <f t="shared" si="6"/>
        <v>1000</v>
      </c>
      <c r="AH43" s="144">
        <f t="shared" si="6"/>
        <v>2200</v>
      </c>
      <c r="AI43" s="144">
        <f t="shared" si="6"/>
        <v>2200</v>
      </c>
      <c r="AJ43" s="144">
        <f t="shared" si="6"/>
        <v>0</v>
      </c>
      <c r="AK43" s="144">
        <f t="shared" si="6"/>
        <v>0</v>
      </c>
      <c r="AL43" s="144">
        <f t="shared" si="6"/>
        <v>0</v>
      </c>
      <c r="AM43" s="144">
        <f t="shared" si="6"/>
        <v>0</v>
      </c>
      <c r="AN43" s="144">
        <f t="shared" si="6"/>
        <v>3000</v>
      </c>
      <c r="AO43" s="144">
        <f t="shared" si="6"/>
        <v>2000</v>
      </c>
      <c r="AP43" s="144">
        <f t="shared" si="6"/>
        <v>2000</v>
      </c>
      <c r="AQ43" s="144">
        <f t="shared" si="6"/>
        <v>2000</v>
      </c>
      <c r="AR43" s="144">
        <f t="shared" si="6"/>
        <v>2000</v>
      </c>
      <c r="AS43" s="144">
        <f t="shared" si="6"/>
        <v>2000</v>
      </c>
      <c r="AT43" s="144">
        <f t="shared" si="6"/>
        <v>2000</v>
      </c>
      <c r="AU43" s="144">
        <f t="shared" si="6"/>
        <v>2000</v>
      </c>
      <c r="AV43" s="144">
        <f t="shared" si="6"/>
        <v>2000</v>
      </c>
      <c r="AW43" s="144">
        <f t="shared" si="6"/>
        <v>1200</v>
      </c>
      <c r="AX43" s="144">
        <f t="shared" si="6"/>
        <v>1200</v>
      </c>
      <c r="AY43" s="144">
        <f t="shared" si="6"/>
        <v>1200</v>
      </c>
      <c r="AZ43" s="144">
        <f t="shared" si="6"/>
        <v>1200</v>
      </c>
      <c r="BA43" s="144">
        <f t="shared" si="6"/>
        <v>1200</v>
      </c>
      <c r="BB43" s="144">
        <f t="shared" si="6"/>
        <v>1200</v>
      </c>
      <c r="BC43" s="144">
        <f t="shared" si="6"/>
        <v>1200</v>
      </c>
      <c r="BD43" s="144">
        <f t="shared" si="6"/>
        <v>0</v>
      </c>
      <c r="BE43" s="144">
        <f t="shared" si="6"/>
        <v>0</v>
      </c>
      <c r="BF43" s="144">
        <f t="shared" si="6"/>
        <v>0</v>
      </c>
      <c r="BG43" s="144">
        <f t="shared" si="6"/>
        <v>0</v>
      </c>
      <c r="BH43" s="144">
        <f t="shared" si="6"/>
        <v>1200</v>
      </c>
      <c r="BI43" s="144">
        <f t="shared" si="6"/>
        <v>0</v>
      </c>
      <c r="BJ43" s="144">
        <f t="shared" si="6"/>
        <v>0</v>
      </c>
      <c r="BK43" s="144">
        <f t="shared" si="6"/>
        <v>0</v>
      </c>
      <c r="BL43" s="144">
        <f t="shared" si="6"/>
        <v>0</v>
      </c>
      <c r="BM43" s="144">
        <f t="shared" si="6"/>
        <v>0</v>
      </c>
      <c r="BN43" s="144">
        <f t="shared" si="6"/>
        <v>0</v>
      </c>
      <c r="BO43" s="144">
        <f t="shared" si="6"/>
        <v>0</v>
      </c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</row>
    <row r="44" spans="2:78" s="121" customFormat="1" ht="12" customHeight="1" outlineLevel="2">
      <c r="B44" s="121" t="s">
        <v>175</v>
      </c>
      <c r="C44" s="107" t="s">
        <v>361</v>
      </c>
      <c r="F44" s="121" t="s">
        <v>89</v>
      </c>
      <c r="H44" s="122" t="s">
        <v>246</v>
      </c>
      <c r="I44" s="123" t="s">
        <v>247</v>
      </c>
      <c r="J44" s="124"/>
      <c r="K44" s="124" t="s">
        <v>248</v>
      </c>
      <c r="L44" s="124" t="s">
        <v>234</v>
      </c>
      <c r="M44" s="125" t="s">
        <v>249</v>
      </c>
      <c r="N44" s="126">
        <f t="shared" ref="N44:N50" si="7">SUM(O44:BO44)</f>
        <v>15450</v>
      </c>
      <c r="O44" s="127">
        <v>0</v>
      </c>
      <c r="P44" s="127"/>
      <c r="Q44" s="127"/>
      <c r="R44" s="127"/>
      <c r="S44" s="127"/>
      <c r="T44" s="127">
        <v>0</v>
      </c>
      <c r="U44" s="127"/>
      <c r="V44" s="127"/>
      <c r="W44" s="127"/>
      <c r="X44" s="127">
        <v>0</v>
      </c>
      <c r="Y44" s="127"/>
      <c r="Z44" s="127"/>
      <c r="AA44" s="127"/>
      <c r="AB44" s="127">
        <v>0</v>
      </c>
      <c r="AC44" s="127"/>
      <c r="AD44" s="127"/>
      <c r="AE44" s="127"/>
      <c r="AF44" s="127"/>
      <c r="AG44" s="127">
        <v>0</v>
      </c>
      <c r="AH44" s="127"/>
      <c r="AI44" s="127"/>
      <c r="AJ44" s="127"/>
      <c r="AK44" s="127">
        <v>0</v>
      </c>
      <c r="AL44" s="127"/>
      <c r="AM44" s="127"/>
      <c r="AN44" s="127"/>
      <c r="AO44" s="127">
        <v>0</v>
      </c>
      <c r="AP44" s="127"/>
      <c r="AQ44" s="127"/>
      <c r="AR44" s="127"/>
      <c r="AS44" s="127"/>
      <c r="AT44" s="127">
        <v>1030</v>
      </c>
      <c r="AU44" s="127">
        <v>1030</v>
      </c>
      <c r="AV44" s="127">
        <v>1030</v>
      </c>
      <c r="AW44" s="127">
        <v>1030</v>
      </c>
      <c r="AX44" s="127">
        <v>1030</v>
      </c>
      <c r="AY44" s="127">
        <v>1030</v>
      </c>
      <c r="AZ44" s="127">
        <v>1030</v>
      </c>
      <c r="BA44" s="127">
        <v>1030</v>
      </c>
      <c r="BB44" s="127">
        <v>1030</v>
      </c>
      <c r="BC44" s="127">
        <v>1030</v>
      </c>
      <c r="BD44" s="127">
        <v>1030</v>
      </c>
      <c r="BE44" s="127">
        <v>1030</v>
      </c>
      <c r="BF44" s="127">
        <v>1030</v>
      </c>
      <c r="BG44" s="127">
        <v>1030</v>
      </c>
      <c r="BH44" s="127">
        <v>1030</v>
      </c>
      <c r="BI44" s="127"/>
      <c r="BJ44" s="127"/>
      <c r="BK44" s="127"/>
      <c r="BL44" s="127"/>
      <c r="BM44" s="127"/>
      <c r="BN44" s="127"/>
      <c r="BO44" s="127"/>
      <c r="BP44" s="127" t="s">
        <v>250</v>
      </c>
      <c r="BQ44" s="127" t="s">
        <v>251</v>
      </c>
      <c r="BR44" s="127" t="s">
        <v>252</v>
      </c>
      <c r="BS44" s="127" t="s">
        <v>253</v>
      </c>
      <c r="BT44" s="127" t="s">
        <v>188</v>
      </c>
      <c r="BU44" s="127" t="s">
        <v>189</v>
      </c>
      <c r="BV44" s="127" t="s">
        <v>254</v>
      </c>
      <c r="BW44" s="127" t="s">
        <v>191</v>
      </c>
      <c r="BX44" s="127" t="s">
        <v>255</v>
      </c>
      <c r="BY44" s="127" t="s">
        <v>256</v>
      </c>
      <c r="BZ44" s="128" t="s">
        <v>257</v>
      </c>
    </row>
    <row r="45" spans="2:78" s="121" customFormat="1" outlineLevel="2">
      <c r="B45" s="121" t="s">
        <v>175</v>
      </c>
      <c r="C45" s="107" t="s">
        <v>361</v>
      </c>
      <c r="F45" s="121" t="s">
        <v>89</v>
      </c>
      <c r="G45" s="107" t="s">
        <v>199</v>
      </c>
      <c r="H45" s="122" t="s">
        <v>362</v>
      </c>
      <c r="I45" s="124"/>
      <c r="J45" s="124"/>
      <c r="K45" s="124" t="s">
        <v>346</v>
      </c>
      <c r="L45" s="124" t="s">
        <v>224</v>
      </c>
      <c r="M45" s="125" t="s">
        <v>183</v>
      </c>
      <c r="N45" s="126">
        <f t="shared" si="7"/>
        <v>1150</v>
      </c>
      <c r="O45" s="127"/>
      <c r="P45" s="127"/>
      <c r="Q45" s="127"/>
      <c r="R45" s="127"/>
      <c r="S45" s="127"/>
      <c r="T45" s="127">
        <v>0</v>
      </c>
      <c r="U45" s="127"/>
      <c r="V45" s="127"/>
      <c r="W45" s="127"/>
      <c r="X45" s="127">
        <v>0</v>
      </c>
      <c r="Y45" s="127"/>
      <c r="Z45" s="127"/>
      <c r="AA45" s="127"/>
      <c r="AB45" s="127">
        <v>0</v>
      </c>
      <c r="AC45" s="127"/>
      <c r="AD45" s="127"/>
      <c r="AE45" s="127"/>
      <c r="AF45" s="127"/>
      <c r="AG45" s="127">
        <v>0</v>
      </c>
      <c r="AH45" s="127"/>
      <c r="AI45" s="127"/>
      <c r="AJ45" s="127"/>
      <c r="AK45" s="127">
        <v>0</v>
      </c>
      <c r="AL45" s="127"/>
      <c r="AM45" s="127"/>
      <c r="AN45" s="127"/>
      <c r="AO45" s="127">
        <v>0</v>
      </c>
      <c r="AP45" s="127"/>
      <c r="AQ45" s="127"/>
      <c r="AR45" s="127"/>
      <c r="AS45" s="127"/>
      <c r="AT45" s="127">
        <v>0</v>
      </c>
      <c r="AU45" s="127"/>
      <c r="AV45" s="127"/>
      <c r="AW45" s="127"/>
      <c r="AX45" s="127">
        <v>0</v>
      </c>
      <c r="AY45" s="127"/>
      <c r="AZ45" s="127"/>
      <c r="BA45" s="127"/>
      <c r="BB45" s="127">
        <v>0</v>
      </c>
      <c r="BC45" s="127"/>
      <c r="BD45" s="130">
        <v>800</v>
      </c>
      <c r="BE45" s="127"/>
      <c r="BF45" s="127"/>
      <c r="BG45" s="127">
        <v>0</v>
      </c>
      <c r="BH45" s="127"/>
      <c r="BI45" s="127"/>
      <c r="BJ45" s="130">
        <v>350</v>
      </c>
      <c r="BK45" s="127">
        <v>0</v>
      </c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</row>
    <row r="46" spans="2:78" s="121" customFormat="1" outlineLevel="2">
      <c r="B46" s="121" t="s">
        <v>175</v>
      </c>
      <c r="C46" s="107" t="s">
        <v>361</v>
      </c>
      <c r="F46" s="121" t="s">
        <v>89</v>
      </c>
      <c r="G46" s="107" t="s">
        <v>199</v>
      </c>
      <c r="H46" s="122" t="s">
        <v>345</v>
      </c>
      <c r="I46" s="124"/>
      <c r="J46" s="124"/>
      <c r="K46" s="124" t="s">
        <v>346</v>
      </c>
      <c r="L46" s="124" t="s">
        <v>224</v>
      </c>
      <c r="M46" s="125" t="s">
        <v>183</v>
      </c>
      <c r="N46" s="126">
        <f t="shared" si="7"/>
        <v>850</v>
      </c>
      <c r="O46" s="127"/>
      <c r="P46" s="127"/>
      <c r="Q46" s="127"/>
      <c r="R46" s="127"/>
      <c r="S46" s="127"/>
      <c r="T46" s="127">
        <v>0</v>
      </c>
      <c r="U46" s="127"/>
      <c r="V46" s="127"/>
      <c r="W46" s="127"/>
      <c r="X46" s="127">
        <v>0</v>
      </c>
      <c r="Y46" s="127"/>
      <c r="Z46" s="127"/>
      <c r="AA46" s="127"/>
      <c r="AB46" s="127">
        <v>0</v>
      </c>
      <c r="AC46" s="127"/>
      <c r="AD46" s="127"/>
      <c r="AE46" s="127"/>
      <c r="AF46" s="127"/>
      <c r="AG46" s="127">
        <v>0</v>
      </c>
      <c r="AH46" s="127"/>
      <c r="AI46" s="127"/>
      <c r="AJ46" s="127"/>
      <c r="AK46" s="127">
        <v>0</v>
      </c>
      <c r="AL46" s="127"/>
      <c r="AM46" s="127"/>
      <c r="AN46" s="127"/>
      <c r="AO46" s="127">
        <v>0</v>
      </c>
      <c r="AP46" s="127"/>
      <c r="AQ46" s="127"/>
      <c r="AR46" s="127"/>
      <c r="AS46" s="127"/>
      <c r="AT46" s="127">
        <v>0</v>
      </c>
      <c r="AU46" s="127"/>
      <c r="AV46" s="127"/>
      <c r="AW46" s="130">
        <v>850</v>
      </c>
      <c r="AX46" s="127">
        <v>0</v>
      </c>
      <c r="AY46" s="127"/>
      <c r="AZ46" s="127"/>
      <c r="BA46" s="127"/>
      <c r="BB46" s="127">
        <v>0</v>
      </c>
      <c r="BC46" s="127"/>
      <c r="BD46" s="127"/>
      <c r="BE46" s="127"/>
      <c r="BF46" s="127"/>
      <c r="BG46" s="127">
        <v>0</v>
      </c>
      <c r="BH46" s="127"/>
      <c r="BI46" s="127"/>
      <c r="BJ46" s="127"/>
      <c r="BK46" s="127">
        <v>0</v>
      </c>
      <c r="BL46" s="127"/>
      <c r="BM46" s="127"/>
      <c r="BN46" s="127"/>
      <c r="BO46" s="127"/>
      <c r="BP46" s="127" t="s">
        <v>347</v>
      </c>
      <c r="BQ46" s="127" t="s">
        <v>236</v>
      </c>
      <c r="BR46" s="127" t="s">
        <v>189</v>
      </c>
      <c r="BS46" s="127" t="s">
        <v>189</v>
      </c>
      <c r="BT46" s="127" t="s">
        <v>188</v>
      </c>
      <c r="BU46" s="127" t="s">
        <v>189</v>
      </c>
      <c r="BV46" s="127" t="s">
        <v>205</v>
      </c>
      <c r="BW46" s="127" t="s">
        <v>343</v>
      </c>
      <c r="BX46" s="127" t="s">
        <v>189</v>
      </c>
      <c r="BY46" s="127" t="s">
        <v>189</v>
      </c>
      <c r="BZ46" s="127" t="s">
        <v>348</v>
      </c>
    </row>
    <row r="47" spans="2:78" s="121" customFormat="1" outlineLevel="2">
      <c r="B47" s="121" t="s">
        <v>175</v>
      </c>
      <c r="C47" s="107" t="s">
        <v>361</v>
      </c>
      <c r="F47" s="121" t="s">
        <v>89</v>
      </c>
      <c r="G47" s="107" t="s">
        <v>199</v>
      </c>
      <c r="H47" s="122" t="s">
        <v>222</v>
      </c>
      <c r="I47" s="124"/>
      <c r="J47" s="124"/>
      <c r="K47" s="124" t="s">
        <v>346</v>
      </c>
      <c r="L47" s="124" t="s">
        <v>224</v>
      </c>
      <c r="M47" s="125" t="s">
        <v>183</v>
      </c>
      <c r="N47" s="126">
        <f>SUM(O47:BO47)</f>
        <v>600</v>
      </c>
      <c r="O47" s="127"/>
      <c r="P47" s="127"/>
      <c r="Q47" s="127"/>
      <c r="R47" s="127"/>
      <c r="S47" s="127"/>
      <c r="T47" s="127">
        <v>0</v>
      </c>
      <c r="U47" s="127"/>
      <c r="V47" s="127"/>
      <c r="W47" s="127"/>
      <c r="X47" s="127">
        <v>0</v>
      </c>
      <c r="Y47" s="127"/>
      <c r="Z47" s="127"/>
      <c r="AA47" s="127"/>
      <c r="AB47" s="127">
        <v>0</v>
      </c>
      <c r="AC47" s="127"/>
      <c r="AD47" s="127"/>
      <c r="AE47" s="127"/>
      <c r="AF47" s="127"/>
      <c r="AG47" s="127"/>
      <c r="AH47" s="127"/>
      <c r="AI47" s="127"/>
      <c r="AJ47" s="127"/>
      <c r="AK47" s="127"/>
      <c r="AL47" s="130">
        <v>300</v>
      </c>
      <c r="AM47" s="127"/>
      <c r="AN47" s="130">
        <v>100</v>
      </c>
      <c r="AO47" s="127"/>
      <c r="AP47" s="127"/>
      <c r="AQ47" s="130">
        <v>200</v>
      </c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>
        <v>0</v>
      </c>
      <c r="BC47" s="127"/>
      <c r="BD47" s="127"/>
      <c r="BE47" s="127"/>
      <c r="BF47" s="127"/>
      <c r="BG47" s="127">
        <v>0</v>
      </c>
      <c r="BH47" s="127"/>
      <c r="BI47" s="127"/>
      <c r="BJ47" s="127"/>
      <c r="BK47" s="127">
        <v>0</v>
      </c>
      <c r="BL47" s="127"/>
      <c r="BM47" s="127"/>
      <c r="BN47" s="127"/>
      <c r="BO47" s="127"/>
      <c r="BP47" s="127" t="s">
        <v>225</v>
      </c>
      <c r="BQ47" s="127" t="s">
        <v>226</v>
      </c>
      <c r="BR47" s="127" t="s">
        <v>227</v>
      </c>
      <c r="BS47" s="127" t="s">
        <v>228</v>
      </c>
      <c r="BT47" s="127" t="s">
        <v>188</v>
      </c>
      <c r="BU47" s="127" t="s">
        <v>189</v>
      </c>
      <c r="BV47" s="127" t="s">
        <v>229</v>
      </c>
      <c r="BW47" s="127" t="s">
        <v>191</v>
      </c>
      <c r="BX47" s="127" t="s">
        <v>189</v>
      </c>
      <c r="BY47" s="127" t="s">
        <v>189</v>
      </c>
      <c r="BZ47" s="131" t="s">
        <v>230</v>
      </c>
    </row>
    <row r="48" spans="2:78" s="121" customFormat="1" outlineLevel="2">
      <c r="B48" s="121" t="s">
        <v>175</v>
      </c>
      <c r="C48" s="107" t="s">
        <v>361</v>
      </c>
      <c r="D48" s="102"/>
      <c r="F48" s="121" t="s">
        <v>89</v>
      </c>
      <c r="G48" s="107" t="s">
        <v>199</v>
      </c>
      <c r="H48" s="122" t="s">
        <v>289</v>
      </c>
      <c r="I48" s="124" t="s">
        <v>290</v>
      </c>
      <c r="J48" s="129"/>
      <c r="K48" s="124" t="s">
        <v>363</v>
      </c>
      <c r="L48" s="124" t="s">
        <v>234</v>
      </c>
      <c r="M48" s="125" t="s">
        <v>249</v>
      </c>
      <c r="N48" s="126">
        <f t="shared" si="7"/>
        <v>600</v>
      </c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30">
        <v>600</v>
      </c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</row>
    <row r="49" spans="1:78" s="121" customFormat="1" outlineLevel="2">
      <c r="B49" s="121" t="s">
        <v>175</v>
      </c>
      <c r="C49" s="107" t="s">
        <v>361</v>
      </c>
      <c r="D49" s="102"/>
      <c r="F49" s="121" t="s">
        <v>89</v>
      </c>
      <c r="G49" s="107" t="s">
        <v>199</v>
      </c>
      <c r="H49" s="122" t="s">
        <v>289</v>
      </c>
      <c r="I49" s="124" t="s">
        <v>290</v>
      </c>
      <c r="J49" s="129"/>
      <c r="K49" s="124" t="s">
        <v>248</v>
      </c>
      <c r="L49" s="124" t="s">
        <v>234</v>
      </c>
      <c r="M49" s="125" t="s">
        <v>249</v>
      </c>
      <c r="N49" s="126">
        <f t="shared" si="7"/>
        <v>600</v>
      </c>
      <c r="O49" s="127"/>
      <c r="P49" s="127"/>
      <c r="Q49" s="127"/>
      <c r="R49" s="127"/>
      <c r="S49" s="127"/>
      <c r="T49" s="130">
        <v>600</v>
      </c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spans="1:78" s="121" customFormat="1" outlineLevel="2">
      <c r="B50" s="121" t="s">
        <v>175</v>
      </c>
      <c r="C50" s="107" t="s">
        <v>361</v>
      </c>
      <c r="D50" s="102"/>
      <c r="F50" s="121" t="s">
        <v>89</v>
      </c>
      <c r="G50" s="107" t="s">
        <v>199</v>
      </c>
      <c r="H50" s="122" t="s">
        <v>289</v>
      </c>
      <c r="I50" s="124" t="s">
        <v>290</v>
      </c>
      <c r="J50" s="129"/>
      <c r="K50" s="124" t="s">
        <v>364</v>
      </c>
      <c r="L50" s="124" t="s">
        <v>234</v>
      </c>
      <c r="M50" s="125" t="s">
        <v>249</v>
      </c>
      <c r="N50" s="126">
        <f t="shared" si="7"/>
        <v>600</v>
      </c>
      <c r="O50" s="127"/>
      <c r="P50" s="127"/>
      <c r="Q50" s="127"/>
      <c r="R50" s="127"/>
      <c r="S50" s="130">
        <v>600</v>
      </c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</row>
    <row r="51" spans="1:78" s="139" customFormat="1" outlineLevel="1">
      <c r="C51" s="140" t="s">
        <v>365</v>
      </c>
      <c r="H51" s="141"/>
      <c r="I51" s="141"/>
      <c r="J51" s="141"/>
      <c r="K51" s="141"/>
      <c r="L51" s="141"/>
      <c r="M51" s="142"/>
      <c r="N51" s="143">
        <f>SUBTOTAL(9,N44:N50)</f>
        <v>19850</v>
      </c>
      <c r="O51" s="144">
        <f t="shared" ref="O51:BO51" si="8">SUBTOTAL(9,O44:O44)</f>
        <v>0</v>
      </c>
      <c r="P51" s="144">
        <f t="shared" si="8"/>
        <v>0</v>
      </c>
      <c r="Q51" s="144">
        <f t="shared" si="8"/>
        <v>0</v>
      </c>
      <c r="R51" s="144">
        <f t="shared" si="8"/>
        <v>0</v>
      </c>
      <c r="S51" s="144">
        <f t="shared" si="8"/>
        <v>0</v>
      </c>
      <c r="T51" s="144">
        <f t="shared" si="8"/>
        <v>0</v>
      </c>
      <c r="U51" s="144">
        <f t="shared" si="8"/>
        <v>0</v>
      </c>
      <c r="V51" s="144">
        <f t="shared" si="8"/>
        <v>0</v>
      </c>
      <c r="W51" s="144">
        <f t="shared" si="8"/>
        <v>0</v>
      </c>
      <c r="X51" s="144">
        <f t="shared" si="8"/>
        <v>0</v>
      </c>
      <c r="Y51" s="144">
        <f t="shared" si="8"/>
        <v>0</v>
      </c>
      <c r="Z51" s="144">
        <f t="shared" si="8"/>
        <v>0</v>
      </c>
      <c r="AA51" s="144">
        <f t="shared" si="8"/>
        <v>0</v>
      </c>
      <c r="AB51" s="144">
        <f t="shared" si="8"/>
        <v>0</v>
      </c>
      <c r="AC51" s="144">
        <f t="shared" si="8"/>
        <v>0</v>
      </c>
      <c r="AD51" s="144">
        <f t="shared" si="8"/>
        <v>0</v>
      </c>
      <c r="AE51" s="144">
        <f t="shared" si="8"/>
        <v>0</v>
      </c>
      <c r="AF51" s="144">
        <f t="shared" si="8"/>
        <v>0</v>
      </c>
      <c r="AG51" s="144">
        <f t="shared" si="8"/>
        <v>0</v>
      </c>
      <c r="AH51" s="144">
        <f t="shared" si="8"/>
        <v>0</v>
      </c>
      <c r="AI51" s="144">
        <f t="shared" si="8"/>
        <v>0</v>
      </c>
      <c r="AJ51" s="144">
        <f t="shared" si="8"/>
        <v>0</v>
      </c>
      <c r="AK51" s="144">
        <f t="shared" si="8"/>
        <v>0</v>
      </c>
      <c r="AL51" s="144">
        <f t="shared" si="8"/>
        <v>0</v>
      </c>
      <c r="AM51" s="144">
        <f t="shared" si="8"/>
        <v>0</v>
      </c>
      <c r="AN51" s="144">
        <f t="shared" si="8"/>
        <v>0</v>
      </c>
      <c r="AO51" s="144">
        <f t="shared" si="8"/>
        <v>0</v>
      </c>
      <c r="AP51" s="144">
        <f t="shared" si="8"/>
        <v>0</v>
      </c>
      <c r="AQ51" s="144">
        <f t="shared" si="8"/>
        <v>0</v>
      </c>
      <c r="AR51" s="144">
        <f t="shared" si="8"/>
        <v>0</v>
      </c>
      <c r="AS51" s="144">
        <f t="shared" si="8"/>
        <v>0</v>
      </c>
      <c r="AT51" s="144">
        <f t="shared" si="8"/>
        <v>1030</v>
      </c>
      <c r="AU51" s="144">
        <f t="shared" si="8"/>
        <v>1030</v>
      </c>
      <c r="AV51" s="144">
        <f t="shared" si="8"/>
        <v>1030</v>
      </c>
      <c r="AW51" s="144">
        <f t="shared" si="8"/>
        <v>1030</v>
      </c>
      <c r="AX51" s="144">
        <f t="shared" si="8"/>
        <v>1030</v>
      </c>
      <c r="AY51" s="144">
        <f t="shared" si="8"/>
        <v>1030</v>
      </c>
      <c r="AZ51" s="144">
        <f t="shared" si="8"/>
        <v>1030</v>
      </c>
      <c r="BA51" s="144">
        <f t="shared" si="8"/>
        <v>1030</v>
      </c>
      <c r="BB51" s="144">
        <f t="shared" si="8"/>
        <v>1030</v>
      </c>
      <c r="BC51" s="144">
        <f t="shared" si="8"/>
        <v>1030</v>
      </c>
      <c r="BD51" s="144">
        <f t="shared" si="8"/>
        <v>1030</v>
      </c>
      <c r="BE51" s="144">
        <f t="shared" si="8"/>
        <v>1030</v>
      </c>
      <c r="BF51" s="144">
        <f t="shared" si="8"/>
        <v>1030</v>
      </c>
      <c r="BG51" s="144">
        <f t="shared" si="8"/>
        <v>1030</v>
      </c>
      <c r="BH51" s="144">
        <f t="shared" si="8"/>
        <v>1030</v>
      </c>
      <c r="BI51" s="144">
        <f t="shared" si="8"/>
        <v>0</v>
      </c>
      <c r="BJ51" s="144">
        <f t="shared" si="8"/>
        <v>0</v>
      </c>
      <c r="BK51" s="144">
        <f t="shared" si="8"/>
        <v>0</v>
      </c>
      <c r="BL51" s="144">
        <f t="shared" si="8"/>
        <v>0</v>
      </c>
      <c r="BM51" s="144">
        <f t="shared" si="8"/>
        <v>0</v>
      </c>
      <c r="BN51" s="144">
        <f t="shared" si="8"/>
        <v>0</v>
      </c>
      <c r="BO51" s="144">
        <f t="shared" si="8"/>
        <v>0</v>
      </c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>
        <f>SUBTOTAL(9,BZ44:BZ44)</f>
        <v>0</v>
      </c>
    </row>
    <row r="52" spans="1:78" s="121" customFormat="1" outlineLevel="2">
      <c r="B52" s="121" t="s">
        <v>175</v>
      </c>
      <c r="C52" s="121" t="s">
        <v>366</v>
      </c>
      <c r="D52" s="121" t="s">
        <v>195</v>
      </c>
      <c r="E52" s="148" t="s">
        <v>367</v>
      </c>
      <c r="F52" s="107" t="s">
        <v>178</v>
      </c>
      <c r="G52" s="107"/>
      <c r="H52" s="122" t="s">
        <v>209</v>
      </c>
      <c r="I52" s="124"/>
      <c r="J52" s="124"/>
      <c r="K52" s="124" t="s">
        <v>368</v>
      </c>
      <c r="L52" s="124" t="s">
        <v>182</v>
      </c>
      <c r="M52" s="125" t="s">
        <v>183</v>
      </c>
      <c r="N52" s="126">
        <f t="shared" ref="N52:N77" si="9">SUM(O52:BO52)</f>
        <v>1200</v>
      </c>
      <c r="O52" s="127"/>
      <c r="P52" s="127"/>
      <c r="Q52" s="127"/>
      <c r="R52" s="127"/>
      <c r="S52" s="127"/>
      <c r="T52" s="127">
        <v>0</v>
      </c>
      <c r="U52" s="127"/>
      <c r="V52" s="127"/>
      <c r="W52" s="127"/>
      <c r="X52" s="127">
        <v>0</v>
      </c>
      <c r="Y52" s="127"/>
      <c r="Z52" s="127"/>
      <c r="AA52" s="127"/>
      <c r="AB52" s="127">
        <v>0</v>
      </c>
      <c r="AC52" s="127"/>
      <c r="AD52" s="127"/>
      <c r="AE52" s="127">
        <v>1200</v>
      </c>
      <c r="AF52" s="127"/>
      <c r="AG52" s="127"/>
      <c r="AH52" s="127"/>
      <c r="AI52" s="127"/>
      <c r="AJ52" s="127"/>
      <c r="AK52" s="127">
        <v>0</v>
      </c>
      <c r="AL52" s="127"/>
      <c r="AM52" s="127"/>
      <c r="AN52" s="127"/>
      <c r="AO52" s="127">
        <v>0</v>
      </c>
      <c r="AP52" s="127"/>
      <c r="AQ52" s="127"/>
      <c r="AR52" s="127"/>
      <c r="AS52" s="127"/>
      <c r="AT52" s="127">
        <v>0</v>
      </c>
      <c r="AU52" s="127"/>
      <c r="AV52" s="127"/>
      <c r="AW52" s="127"/>
      <c r="AX52" s="127">
        <v>0</v>
      </c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 t="s">
        <v>211</v>
      </c>
      <c r="BQ52" s="127" t="s">
        <v>212</v>
      </c>
      <c r="BR52" s="127" t="s">
        <v>213</v>
      </c>
      <c r="BS52" s="127" t="s">
        <v>214</v>
      </c>
      <c r="BT52" s="127" t="s">
        <v>188</v>
      </c>
      <c r="BU52" s="127" t="s">
        <v>189</v>
      </c>
      <c r="BV52" s="127" t="s">
        <v>205</v>
      </c>
      <c r="BW52" s="127" t="s">
        <v>191</v>
      </c>
      <c r="BX52" s="127" t="s">
        <v>189</v>
      </c>
      <c r="BY52" s="127" t="s">
        <v>189</v>
      </c>
      <c r="BZ52" s="127" t="s">
        <v>215</v>
      </c>
    </row>
    <row r="53" spans="1:78" s="121" customFormat="1" outlineLevel="2">
      <c r="B53" s="121" t="s">
        <v>175</v>
      </c>
      <c r="C53" s="121" t="s">
        <v>366</v>
      </c>
      <c r="D53" s="121" t="s">
        <v>177</v>
      </c>
      <c r="F53" s="107" t="s">
        <v>178</v>
      </c>
      <c r="H53" s="122" t="s">
        <v>369</v>
      </c>
      <c r="I53" s="123" t="s">
        <v>370</v>
      </c>
      <c r="J53" s="124"/>
      <c r="K53" s="124" t="s">
        <v>371</v>
      </c>
      <c r="L53" s="124" t="s">
        <v>372</v>
      </c>
      <c r="M53" s="125" t="s">
        <v>183</v>
      </c>
      <c r="N53" s="126">
        <f t="shared" si="9"/>
        <v>10800</v>
      </c>
      <c r="O53" s="127">
        <v>0</v>
      </c>
      <c r="P53" s="127"/>
      <c r="Q53" s="127"/>
      <c r="R53" s="127"/>
      <c r="S53" s="127"/>
      <c r="T53" s="127">
        <v>0</v>
      </c>
      <c r="U53" s="127"/>
      <c r="V53" s="127"/>
      <c r="W53" s="127"/>
      <c r="X53" s="127">
        <v>0</v>
      </c>
      <c r="Y53" s="127"/>
      <c r="Z53" s="127"/>
      <c r="AA53" s="127"/>
      <c r="AB53" s="127">
        <v>0</v>
      </c>
      <c r="AC53" s="127"/>
      <c r="AD53" s="127"/>
      <c r="AE53" s="127"/>
      <c r="AF53" s="127"/>
      <c r="AG53" s="127"/>
      <c r="AH53" s="127"/>
      <c r="AI53" s="127">
        <v>1200</v>
      </c>
      <c r="AJ53" s="127">
        <v>1200</v>
      </c>
      <c r="AK53" s="127">
        <v>1200</v>
      </c>
      <c r="AL53" s="127">
        <v>1200</v>
      </c>
      <c r="AM53" s="127">
        <v>1200</v>
      </c>
      <c r="AN53" s="127">
        <v>1200</v>
      </c>
      <c r="AO53" s="127">
        <v>1200</v>
      </c>
      <c r="AP53" s="127">
        <v>1200</v>
      </c>
      <c r="AQ53" s="127">
        <v>1200</v>
      </c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>
        <v>0</v>
      </c>
      <c r="BH53" s="127"/>
      <c r="BI53" s="127"/>
      <c r="BJ53" s="127"/>
      <c r="BK53" s="127">
        <v>0</v>
      </c>
      <c r="BL53" s="127"/>
      <c r="BM53" s="127"/>
      <c r="BN53" s="127"/>
      <c r="BO53" s="127"/>
      <c r="BP53" s="127" t="s">
        <v>373</v>
      </c>
      <c r="BQ53" s="127" t="s">
        <v>374</v>
      </c>
      <c r="BR53" s="127" t="s">
        <v>375</v>
      </c>
      <c r="BS53" s="127" t="s">
        <v>376</v>
      </c>
      <c r="BT53" s="127" t="s">
        <v>239</v>
      </c>
      <c r="BU53" s="127" t="s">
        <v>377</v>
      </c>
      <c r="BV53" s="127" t="s">
        <v>190</v>
      </c>
      <c r="BW53" s="127" t="s">
        <v>191</v>
      </c>
      <c r="BX53" s="127" t="s">
        <v>305</v>
      </c>
      <c r="BY53" s="127" t="s">
        <v>378</v>
      </c>
      <c r="BZ53" s="128" t="s">
        <v>379</v>
      </c>
    </row>
    <row r="54" spans="1:78" s="121" customFormat="1" outlineLevel="2">
      <c r="B54" s="121" t="s">
        <v>175</v>
      </c>
      <c r="C54" s="121" t="s">
        <v>366</v>
      </c>
      <c r="D54" s="121" t="s">
        <v>195</v>
      </c>
      <c r="F54" s="107" t="s">
        <v>178</v>
      </c>
      <c r="H54" s="122" t="s">
        <v>369</v>
      </c>
      <c r="I54" s="123" t="s">
        <v>370</v>
      </c>
      <c r="J54" s="124"/>
      <c r="K54" s="124" t="s">
        <v>371</v>
      </c>
      <c r="L54" s="124" t="s">
        <v>372</v>
      </c>
      <c r="M54" s="125" t="s">
        <v>183</v>
      </c>
      <c r="N54" s="126">
        <f t="shared" si="9"/>
        <v>55000</v>
      </c>
      <c r="O54" s="127">
        <v>0</v>
      </c>
      <c r="P54" s="127"/>
      <c r="Q54" s="127"/>
      <c r="R54" s="127"/>
      <c r="S54" s="127"/>
      <c r="T54" s="127">
        <v>0</v>
      </c>
      <c r="U54" s="127"/>
      <c r="V54" s="127"/>
      <c r="W54" s="127"/>
      <c r="X54" s="127">
        <v>0</v>
      </c>
      <c r="Y54" s="127"/>
      <c r="Z54" s="127"/>
      <c r="AA54" s="127"/>
      <c r="AB54" s="127">
        <v>0</v>
      </c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>
        <v>2200</v>
      </c>
      <c r="AS54" s="127">
        <v>5500</v>
      </c>
      <c r="AT54" s="127">
        <v>5500</v>
      </c>
      <c r="AU54" s="127">
        <v>5500</v>
      </c>
      <c r="AV54" s="127">
        <v>5500</v>
      </c>
      <c r="AW54" s="127">
        <v>5500</v>
      </c>
      <c r="AX54" s="127">
        <v>5500</v>
      </c>
      <c r="AY54" s="127">
        <v>5500</v>
      </c>
      <c r="AZ54" s="127">
        <v>5500</v>
      </c>
      <c r="BA54" s="127">
        <v>5500</v>
      </c>
      <c r="BB54" s="127">
        <v>3300</v>
      </c>
      <c r="BC54" s="127"/>
      <c r="BD54" s="127"/>
      <c r="BE54" s="127"/>
      <c r="BF54" s="127"/>
      <c r="BG54" s="127"/>
      <c r="BH54" s="127"/>
      <c r="BI54" s="127"/>
      <c r="BJ54" s="127"/>
      <c r="BK54" s="127">
        <v>0</v>
      </c>
      <c r="BL54" s="127"/>
      <c r="BM54" s="127"/>
      <c r="BN54" s="127"/>
      <c r="BO54" s="127"/>
      <c r="BP54" s="127" t="s">
        <v>373</v>
      </c>
      <c r="BQ54" s="127" t="s">
        <v>374</v>
      </c>
      <c r="BR54" s="127" t="s">
        <v>375</v>
      </c>
      <c r="BS54" s="127" t="s">
        <v>376</v>
      </c>
      <c r="BT54" s="127" t="s">
        <v>239</v>
      </c>
      <c r="BU54" s="127" t="s">
        <v>377</v>
      </c>
      <c r="BV54" s="127" t="s">
        <v>190</v>
      </c>
      <c r="BW54" s="127" t="s">
        <v>191</v>
      </c>
      <c r="BX54" s="127" t="s">
        <v>305</v>
      </c>
      <c r="BY54" s="127" t="s">
        <v>378</v>
      </c>
      <c r="BZ54" s="128" t="s">
        <v>379</v>
      </c>
    </row>
    <row r="55" spans="1:78" s="121" customFormat="1" outlineLevel="2">
      <c r="B55" s="121" t="s">
        <v>175</v>
      </c>
      <c r="C55" s="121" t="s">
        <v>366</v>
      </c>
      <c r="D55" s="121" t="s">
        <v>195</v>
      </c>
      <c r="F55" s="107" t="s">
        <v>178</v>
      </c>
      <c r="H55" s="122" t="s">
        <v>179</v>
      </c>
      <c r="I55" s="123" t="s">
        <v>180</v>
      </c>
      <c r="J55" s="124"/>
      <c r="K55" s="124" t="s">
        <v>197</v>
      </c>
      <c r="L55" s="124" t="s">
        <v>182</v>
      </c>
      <c r="M55" s="125" t="s">
        <v>183</v>
      </c>
      <c r="N55" s="126">
        <f t="shared" si="9"/>
        <v>45700</v>
      </c>
      <c r="O55" s="127">
        <v>0</v>
      </c>
      <c r="P55" s="127"/>
      <c r="Q55" s="127"/>
      <c r="R55" s="127"/>
      <c r="S55" s="127"/>
      <c r="T55" s="127">
        <v>0</v>
      </c>
      <c r="U55" s="127"/>
      <c r="V55" s="127"/>
      <c r="W55" s="127"/>
      <c r="X55" s="127">
        <v>0</v>
      </c>
      <c r="Y55" s="127"/>
      <c r="Z55" s="127"/>
      <c r="AA55" s="127"/>
      <c r="AB55" s="127">
        <v>0</v>
      </c>
      <c r="AC55" s="127"/>
      <c r="AD55" s="127"/>
      <c r="AE55" s="127"/>
      <c r="AF55" s="127"/>
      <c r="AG55" s="127">
        <v>0</v>
      </c>
      <c r="AH55" s="127"/>
      <c r="AI55" s="127"/>
      <c r="AJ55" s="127"/>
      <c r="AK55" s="127">
        <v>0</v>
      </c>
      <c r="AL55" s="127"/>
      <c r="AM55" s="127"/>
      <c r="AN55" s="127"/>
      <c r="AO55" s="127">
        <v>0</v>
      </c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>
        <v>2200</v>
      </c>
      <c r="BB55" s="127">
        <v>4350</v>
      </c>
      <c r="BC55" s="127">
        <v>4350</v>
      </c>
      <c r="BD55" s="127">
        <v>4350</v>
      </c>
      <c r="BE55" s="127">
        <v>4350</v>
      </c>
      <c r="BF55" s="127">
        <v>4350</v>
      </c>
      <c r="BG55" s="127">
        <v>4350</v>
      </c>
      <c r="BH55" s="127">
        <v>4350</v>
      </c>
      <c r="BI55" s="127">
        <v>4350</v>
      </c>
      <c r="BJ55" s="127">
        <v>4350</v>
      </c>
      <c r="BK55" s="127">
        <v>4350</v>
      </c>
      <c r="BL55" s="127"/>
      <c r="BM55" s="127"/>
      <c r="BN55" s="127"/>
      <c r="BO55" s="127"/>
      <c r="BP55" s="127" t="s">
        <v>184</v>
      </c>
      <c r="BQ55" s="127" t="s">
        <v>185</v>
      </c>
      <c r="BR55" s="127" t="s">
        <v>186</v>
      </c>
      <c r="BS55" s="127" t="s">
        <v>187</v>
      </c>
      <c r="BT55" s="127" t="s">
        <v>188</v>
      </c>
      <c r="BU55" s="127" t="s">
        <v>189</v>
      </c>
      <c r="BV55" s="127" t="s">
        <v>190</v>
      </c>
      <c r="BW55" s="127" t="s">
        <v>191</v>
      </c>
      <c r="BX55" s="127" t="s">
        <v>192</v>
      </c>
      <c r="BY55" s="127" t="s">
        <v>193</v>
      </c>
      <c r="BZ55" s="128" t="s">
        <v>194</v>
      </c>
    </row>
    <row r="56" spans="1:78">
      <c r="A56" s="121"/>
      <c r="B56" s="107" t="s">
        <v>175</v>
      </c>
      <c r="C56" s="145" t="s">
        <v>366</v>
      </c>
      <c r="D56" s="107" t="s">
        <v>195</v>
      </c>
      <c r="E56" s="121"/>
      <c r="F56" s="107" t="s">
        <v>178</v>
      </c>
      <c r="G56" s="107"/>
      <c r="H56" s="122" t="s">
        <v>380</v>
      </c>
      <c r="I56" s="124"/>
      <c r="J56" s="124"/>
      <c r="K56" s="124" t="s">
        <v>381</v>
      </c>
      <c r="L56" s="124" t="s">
        <v>372</v>
      </c>
      <c r="M56" s="125" t="s">
        <v>183</v>
      </c>
      <c r="N56" s="126">
        <f t="shared" si="9"/>
        <v>48000</v>
      </c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>
        <v>1200</v>
      </c>
      <c r="AO56" s="127">
        <v>3800</v>
      </c>
      <c r="AP56" s="127">
        <v>3800</v>
      </c>
      <c r="AQ56" s="127">
        <v>3800</v>
      </c>
      <c r="AR56" s="127">
        <v>3800</v>
      </c>
      <c r="AS56" s="127">
        <v>3800</v>
      </c>
      <c r="AT56" s="127">
        <v>4800</v>
      </c>
      <c r="AU56" s="127">
        <v>4800</v>
      </c>
      <c r="AV56" s="127">
        <v>4800</v>
      </c>
      <c r="AW56" s="127">
        <v>4800</v>
      </c>
      <c r="AX56" s="127">
        <v>4800</v>
      </c>
      <c r="AY56" s="127">
        <v>3800</v>
      </c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46" t="s">
        <v>382</v>
      </c>
      <c r="BQ56" s="146" t="s">
        <v>383</v>
      </c>
      <c r="BR56" s="146" t="s">
        <v>384</v>
      </c>
      <c r="BS56" s="146" t="s">
        <v>385</v>
      </c>
      <c r="BT56" s="146" t="s">
        <v>239</v>
      </c>
      <c r="BU56" s="146" t="s">
        <v>377</v>
      </c>
      <c r="BV56" s="146" t="s">
        <v>229</v>
      </c>
      <c r="BW56" s="146" t="s">
        <v>343</v>
      </c>
      <c r="BX56" s="146" t="s">
        <v>332</v>
      </c>
      <c r="BY56" s="146" t="s">
        <v>386</v>
      </c>
      <c r="BZ56" s="146" t="s">
        <v>387</v>
      </c>
    </row>
    <row r="57" spans="1:78" s="121" customFormat="1" outlineLevel="2">
      <c r="B57" s="121" t="s">
        <v>175</v>
      </c>
      <c r="C57" s="121" t="s">
        <v>366</v>
      </c>
      <c r="D57" s="107" t="s">
        <v>198</v>
      </c>
      <c r="F57" s="107" t="s">
        <v>178</v>
      </c>
      <c r="G57" s="107" t="s">
        <v>388</v>
      </c>
      <c r="H57" s="122" t="s">
        <v>389</v>
      </c>
      <c r="I57" s="124"/>
      <c r="J57" s="124"/>
      <c r="K57" s="124" t="s">
        <v>390</v>
      </c>
      <c r="L57" s="124" t="s">
        <v>372</v>
      </c>
      <c r="M57" s="125" t="s">
        <v>183</v>
      </c>
      <c r="N57" s="126">
        <f t="shared" si="9"/>
        <v>0</v>
      </c>
      <c r="O57" s="127"/>
      <c r="P57" s="127"/>
      <c r="Q57" s="127"/>
      <c r="R57" s="127"/>
      <c r="S57" s="127"/>
      <c r="T57" s="127">
        <v>0</v>
      </c>
      <c r="U57" s="127"/>
      <c r="V57" s="127"/>
      <c r="W57" s="127"/>
      <c r="X57" s="127">
        <v>0</v>
      </c>
      <c r="Y57" s="127"/>
      <c r="Z57" s="127"/>
      <c r="AA57" s="127"/>
      <c r="AB57" s="127">
        <v>0</v>
      </c>
      <c r="AC57" s="127"/>
      <c r="AD57" s="127"/>
      <c r="AE57" s="127"/>
      <c r="AF57" s="127"/>
      <c r="AG57" s="127">
        <v>0</v>
      </c>
      <c r="AH57" s="127"/>
      <c r="AI57" s="127"/>
      <c r="AJ57" s="127"/>
      <c r="AK57" s="127"/>
      <c r="AL57" s="127"/>
      <c r="AM57" s="127"/>
      <c r="AN57" s="127"/>
      <c r="AO57" s="127">
        <v>0</v>
      </c>
      <c r="AP57" s="127"/>
      <c r="AQ57" s="127"/>
      <c r="AR57" s="127"/>
      <c r="AS57" s="127"/>
      <c r="AT57" s="127">
        <v>0</v>
      </c>
      <c r="AU57" s="127"/>
      <c r="AV57" s="127"/>
      <c r="AW57" s="127"/>
      <c r="AX57" s="127">
        <v>0</v>
      </c>
      <c r="AY57" s="127"/>
      <c r="AZ57" s="127"/>
      <c r="BA57" s="127"/>
      <c r="BB57" s="127">
        <v>0</v>
      </c>
      <c r="BC57" s="127"/>
      <c r="BD57" s="127"/>
      <c r="BE57" s="127"/>
      <c r="BF57" s="127"/>
      <c r="BG57" s="127">
        <v>0</v>
      </c>
      <c r="BH57" s="127"/>
      <c r="BI57" s="127"/>
      <c r="BJ57" s="127"/>
      <c r="BK57" s="127">
        <v>0</v>
      </c>
      <c r="BL57" s="127"/>
      <c r="BM57" s="127"/>
      <c r="BN57" s="127"/>
      <c r="BO57" s="127"/>
      <c r="BP57" s="127" t="s">
        <v>391</v>
      </c>
      <c r="BQ57" s="127" t="s">
        <v>392</v>
      </c>
      <c r="BR57" s="127" t="s">
        <v>393</v>
      </c>
      <c r="BS57" s="127" t="s">
        <v>394</v>
      </c>
      <c r="BT57" s="127" t="s">
        <v>188</v>
      </c>
      <c r="BU57" s="127" t="s">
        <v>189</v>
      </c>
      <c r="BV57" s="127" t="s">
        <v>395</v>
      </c>
      <c r="BW57" s="127" t="s">
        <v>343</v>
      </c>
      <c r="BX57" s="127" t="s">
        <v>396</v>
      </c>
      <c r="BY57" s="127" t="s">
        <v>189</v>
      </c>
      <c r="BZ57" s="127" t="s">
        <v>397</v>
      </c>
    </row>
    <row r="58" spans="1:78" s="121" customFormat="1" outlineLevel="2">
      <c r="B58" s="121" t="s">
        <v>175</v>
      </c>
      <c r="C58" s="121" t="s">
        <v>366</v>
      </c>
      <c r="D58" s="107" t="s">
        <v>195</v>
      </c>
      <c r="F58" s="107" t="s">
        <v>178</v>
      </c>
      <c r="G58" s="107" t="s">
        <v>199</v>
      </c>
      <c r="H58" s="122" t="s">
        <v>398</v>
      </c>
      <c r="I58" s="124"/>
      <c r="J58" s="124"/>
      <c r="K58" s="124" t="s">
        <v>399</v>
      </c>
      <c r="L58" s="124" t="s">
        <v>372</v>
      </c>
      <c r="M58" s="125" t="s">
        <v>183</v>
      </c>
      <c r="N58" s="126">
        <f t="shared" si="9"/>
        <v>1200</v>
      </c>
      <c r="O58" s="127">
        <v>0</v>
      </c>
      <c r="P58" s="127"/>
      <c r="Q58" s="127"/>
      <c r="R58" s="127"/>
      <c r="S58" s="127"/>
      <c r="T58" s="127">
        <v>0</v>
      </c>
      <c r="U58" s="127"/>
      <c r="V58" s="127"/>
      <c r="W58" s="127"/>
      <c r="X58" s="127"/>
      <c r="Y58" s="130">
        <v>1200</v>
      </c>
      <c r="Z58" s="127"/>
      <c r="AA58" s="127"/>
      <c r="AB58" s="127">
        <v>0</v>
      </c>
      <c r="AC58" s="127"/>
      <c r="AD58" s="127"/>
      <c r="AE58" s="127"/>
      <c r="AF58" s="127"/>
      <c r="AG58" s="127">
        <v>0</v>
      </c>
      <c r="AH58" s="127"/>
      <c r="AI58" s="127"/>
      <c r="AJ58" s="127"/>
      <c r="AK58" s="127">
        <v>0</v>
      </c>
      <c r="AL58" s="127"/>
      <c r="AM58" s="127"/>
      <c r="AN58" s="127"/>
      <c r="AO58" s="127">
        <v>0</v>
      </c>
      <c r="AP58" s="127"/>
      <c r="AQ58" s="127"/>
      <c r="AR58" s="127"/>
      <c r="AS58" s="127"/>
      <c r="AT58" s="127">
        <v>0</v>
      </c>
      <c r="AU58" s="127"/>
      <c r="AV58" s="127"/>
      <c r="AW58" s="127"/>
      <c r="AX58" s="127">
        <v>0</v>
      </c>
      <c r="AY58" s="127"/>
      <c r="AZ58" s="127"/>
      <c r="BA58" s="127"/>
      <c r="BB58" s="127">
        <v>0</v>
      </c>
      <c r="BC58" s="127"/>
      <c r="BD58" s="127"/>
      <c r="BE58" s="127"/>
      <c r="BF58" s="127"/>
      <c r="BG58" s="127">
        <v>0</v>
      </c>
      <c r="BH58" s="127"/>
      <c r="BI58" s="127"/>
      <c r="BJ58" s="127"/>
      <c r="BK58" s="127">
        <v>0</v>
      </c>
      <c r="BL58" s="127"/>
      <c r="BM58" s="127"/>
      <c r="BN58" s="127"/>
      <c r="BO58" s="127"/>
      <c r="BP58" s="127" t="s">
        <v>400</v>
      </c>
      <c r="BQ58" s="127" t="s">
        <v>383</v>
      </c>
      <c r="BR58" s="127" t="s">
        <v>401</v>
      </c>
      <c r="BS58" s="127" t="s">
        <v>402</v>
      </c>
      <c r="BT58" s="127" t="s">
        <v>188</v>
      </c>
      <c r="BU58" s="127" t="s">
        <v>189</v>
      </c>
      <c r="BV58" s="127" t="s">
        <v>229</v>
      </c>
      <c r="BW58" s="127" t="s">
        <v>191</v>
      </c>
      <c r="BX58" s="127" t="s">
        <v>403</v>
      </c>
      <c r="BY58" s="127" t="s">
        <v>189</v>
      </c>
      <c r="BZ58" s="127" t="s">
        <v>397</v>
      </c>
    </row>
    <row r="59" spans="1:78" s="121" customFormat="1" outlineLevel="2">
      <c r="B59" s="121" t="s">
        <v>175</v>
      </c>
      <c r="C59" s="121" t="s">
        <v>366</v>
      </c>
      <c r="D59" s="107"/>
      <c r="E59" s="121" t="s">
        <v>404</v>
      </c>
      <c r="F59" s="107" t="s">
        <v>405</v>
      </c>
      <c r="G59" s="107" t="s">
        <v>199</v>
      </c>
      <c r="H59" s="122" t="s">
        <v>398</v>
      </c>
      <c r="I59" s="124"/>
      <c r="J59" s="124"/>
      <c r="K59" s="124" t="s">
        <v>406</v>
      </c>
      <c r="L59" s="124" t="s">
        <v>372</v>
      </c>
      <c r="M59" s="125" t="s">
        <v>183</v>
      </c>
      <c r="N59" s="126">
        <f>SUM(O59:BO59)</f>
        <v>6000</v>
      </c>
      <c r="O59" s="127">
        <v>0</v>
      </c>
      <c r="P59" s="127"/>
      <c r="Q59" s="127"/>
      <c r="R59" s="127"/>
      <c r="S59" s="127"/>
      <c r="T59" s="127">
        <v>0</v>
      </c>
      <c r="U59" s="127"/>
      <c r="V59" s="127"/>
      <c r="W59" s="127"/>
      <c r="X59" s="127"/>
      <c r="Y59" s="130">
        <v>1200</v>
      </c>
      <c r="Z59" s="130">
        <v>1200</v>
      </c>
      <c r="AA59" s="130">
        <v>1200</v>
      </c>
      <c r="AB59" s="130">
        <v>1200</v>
      </c>
      <c r="AC59" s="130">
        <v>1200</v>
      </c>
      <c r="AD59" s="127"/>
      <c r="AE59" s="127"/>
      <c r="AF59" s="127"/>
      <c r="AG59" s="127">
        <v>0</v>
      </c>
      <c r="AH59" s="127"/>
      <c r="AI59" s="127"/>
      <c r="AJ59" s="127"/>
      <c r="AK59" s="127">
        <v>0</v>
      </c>
      <c r="AL59" s="127"/>
      <c r="AM59" s="127"/>
      <c r="AN59" s="127"/>
      <c r="AO59" s="127">
        <v>0</v>
      </c>
      <c r="AP59" s="127"/>
      <c r="AQ59" s="127"/>
      <c r="AR59" s="127"/>
      <c r="AS59" s="127"/>
      <c r="AT59" s="127">
        <v>0</v>
      </c>
      <c r="AU59" s="127"/>
      <c r="AV59" s="127"/>
      <c r="AW59" s="127"/>
      <c r="AX59" s="127">
        <v>0</v>
      </c>
      <c r="AY59" s="127"/>
      <c r="AZ59" s="127"/>
      <c r="BA59" s="127"/>
      <c r="BB59" s="127">
        <v>0</v>
      </c>
      <c r="BC59" s="127"/>
      <c r="BD59" s="127"/>
      <c r="BE59" s="127"/>
      <c r="BF59" s="127"/>
      <c r="BG59" s="127">
        <v>0</v>
      </c>
      <c r="BH59" s="127"/>
      <c r="BI59" s="127"/>
      <c r="BJ59" s="127"/>
      <c r="BK59" s="127">
        <v>0</v>
      </c>
      <c r="BL59" s="127"/>
      <c r="BM59" s="127"/>
      <c r="BN59" s="127"/>
      <c r="BO59" s="127"/>
      <c r="BP59" s="127" t="s">
        <v>400</v>
      </c>
      <c r="BQ59" s="127" t="s">
        <v>383</v>
      </c>
      <c r="BR59" s="127" t="s">
        <v>401</v>
      </c>
      <c r="BS59" s="127" t="s">
        <v>402</v>
      </c>
      <c r="BT59" s="127" t="s">
        <v>188</v>
      </c>
      <c r="BU59" s="127" t="s">
        <v>189</v>
      </c>
      <c r="BV59" s="127" t="s">
        <v>229</v>
      </c>
      <c r="BW59" s="127" t="s">
        <v>191</v>
      </c>
      <c r="BX59" s="127" t="s">
        <v>403</v>
      </c>
      <c r="BY59" s="127" t="s">
        <v>189</v>
      </c>
      <c r="BZ59" s="127" t="s">
        <v>397</v>
      </c>
    </row>
    <row r="60" spans="1:78" s="121" customFormat="1" outlineLevel="2">
      <c r="B60" s="121" t="s">
        <v>175</v>
      </c>
      <c r="C60" s="121" t="s">
        <v>366</v>
      </c>
      <c r="D60" s="107" t="s">
        <v>195</v>
      </c>
      <c r="F60" s="107" t="s">
        <v>178</v>
      </c>
      <c r="H60" s="122" t="s">
        <v>407</v>
      </c>
      <c r="I60" s="124"/>
      <c r="J60" s="124"/>
      <c r="K60" s="124" t="s">
        <v>408</v>
      </c>
      <c r="L60" s="124" t="s">
        <v>315</v>
      </c>
      <c r="M60" s="125" t="s">
        <v>183</v>
      </c>
      <c r="N60" s="126">
        <f t="shared" si="9"/>
        <v>3600</v>
      </c>
      <c r="O60" s="127">
        <v>0</v>
      </c>
      <c r="P60" s="127"/>
      <c r="Q60" s="127"/>
      <c r="R60" s="127"/>
      <c r="S60" s="127"/>
      <c r="T60" s="127">
        <v>0</v>
      </c>
      <c r="U60" s="127"/>
      <c r="V60" s="127"/>
      <c r="W60" s="127"/>
      <c r="X60" s="127">
        <v>0</v>
      </c>
      <c r="Y60" s="127"/>
      <c r="Z60" s="127"/>
      <c r="AA60" s="127"/>
      <c r="AB60" s="127">
        <v>0</v>
      </c>
      <c r="AC60" s="127"/>
      <c r="AD60" s="127"/>
      <c r="AE60" s="127"/>
      <c r="AF60" s="127"/>
      <c r="AG60" s="127">
        <v>0</v>
      </c>
      <c r="AH60" s="127"/>
      <c r="AI60" s="127"/>
      <c r="AJ60" s="127"/>
      <c r="AK60" s="127">
        <v>1200</v>
      </c>
      <c r="AL60" s="127">
        <v>1200</v>
      </c>
      <c r="AM60" s="127">
        <v>1200</v>
      </c>
      <c r="AN60" s="127"/>
      <c r="AO60" s="127"/>
      <c r="AP60" s="127"/>
      <c r="AQ60" s="127"/>
      <c r="AR60" s="127"/>
      <c r="AS60" s="127"/>
      <c r="AT60" s="127">
        <v>0</v>
      </c>
      <c r="AU60" s="127"/>
      <c r="AV60" s="127"/>
      <c r="AW60" s="127"/>
      <c r="AX60" s="127">
        <v>0</v>
      </c>
      <c r="AY60" s="127"/>
      <c r="AZ60" s="127"/>
      <c r="BA60" s="127"/>
      <c r="BB60" s="127">
        <v>0</v>
      </c>
      <c r="BC60" s="127"/>
      <c r="BD60" s="127"/>
      <c r="BE60" s="127"/>
      <c r="BF60" s="127"/>
      <c r="BG60" s="127">
        <v>0</v>
      </c>
      <c r="BH60" s="127"/>
      <c r="BI60" s="127"/>
      <c r="BJ60" s="127"/>
      <c r="BK60" s="127">
        <v>0</v>
      </c>
      <c r="BL60" s="127"/>
      <c r="BM60" s="127"/>
      <c r="BN60" s="127"/>
      <c r="BO60" s="127"/>
      <c r="BP60" s="127" t="s">
        <v>409</v>
      </c>
      <c r="BQ60" s="127" t="s">
        <v>410</v>
      </c>
      <c r="BR60" s="127" t="s">
        <v>411</v>
      </c>
      <c r="BS60" s="127" t="s">
        <v>412</v>
      </c>
      <c r="BT60" s="127" t="s">
        <v>239</v>
      </c>
      <c r="BU60" s="127" t="s">
        <v>189</v>
      </c>
      <c r="BV60" s="127" t="s">
        <v>395</v>
      </c>
      <c r="BW60" s="127" t="s">
        <v>343</v>
      </c>
      <c r="BX60" s="127" t="s">
        <v>413</v>
      </c>
      <c r="BY60" s="127" t="s">
        <v>414</v>
      </c>
      <c r="BZ60" s="131" t="s">
        <v>415</v>
      </c>
    </row>
    <row r="61" spans="1:78" s="121" customFormat="1" outlineLevel="2">
      <c r="B61" s="121" t="s">
        <v>175</v>
      </c>
      <c r="C61" s="121" t="s">
        <v>366</v>
      </c>
      <c r="D61" s="107" t="s">
        <v>198</v>
      </c>
      <c r="F61" s="107" t="s">
        <v>178</v>
      </c>
      <c r="H61" s="124" t="s">
        <v>416</v>
      </c>
      <c r="I61" s="124"/>
      <c r="J61" s="124"/>
      <c r="K61" s="124" t="s">
        <v>417</v>
      </c>
      <c r="L61" s="124" t="s">
        <v>372</v>
      </c>
      <c r="M61" s="125" t="s">
        <v>183</v>
      </c>
      <c r="N61" s="126">
        <f t="shared" si="9"/>
        <v>1326</v>
      </c>
      <c r="O61" s="127">
        <v>0</v>
      </c>
      <c r="P61" s="127"/>
      <c r="Q61" s="127"/>
      <c r="R61" s="127"/>
      <c r="S61" s="127"/>
      <c r="T61" s="127">
        <v>0</v>
      </c>
      <c r="U61" s="127"/>
      <c r="V61" s="127"/>
      <c r="W61" s="127"/>
      <c r="X61" s="127">
        <v>0</v>
      </c>
      <c r="Y61" s="127"/>
      <c r="Z61" s="127"/>
      <c r="AA61" s="127"/>
      <c r="AB61" s="127">
        <v>0</v>
      </c>
      <c r="AC61" s="127"/>
      <c r="AD61" s="127"/>
      <c r="AE61" s="127"/>
      <c r="AF61" s="127"/>
      <c r="AG61" s="127">
        <v>0</v>
      </c>
      <c r="AH61" s="127"/>
      <c r="AI61" s="127"/>
      <c r="AJ61" s="127"/>
      <c r="AK61" s="127">
        <v>0</v>
      </c>
      <c r="AL61" s="127"/>
      <c r="AM61" s="127"/>
      <c r="AN61" s="127"/>
      <c r="AO61" s="127">
        <v>1326</v>
      </c>
      <c r="AP61" s="127"/>
      <c r="AQ61" s="127"/>
      <c r="AR61" s="127"/>
      <c r="AS61" s="127"/>
      <c r="AT61" s="127">
        <v>0</v>
      </c>
      <c r="AU61" s="127"/>
      <c r="AV61" s="127"/>
      <c r="AW61" s="127"/>
      <c r="AX61" s="127">
        <v>0</v>
      </c>
      <c r="AY61" s="127"/>
      <c r="AZ61" s="127"/>
      <c r="BA61" s="127"/>
      <c r="BB61" s="127">
        <v>0</v>
      </c>
      <c r="BC61" s="127"/>
      <c r="BD61" s="127"/>
      <c r="BE61" s="127"/>
      <c r="BF61" s="127"/>
      <c r="BG61" s="127">
        <v>0</v>
      </c>
      <c r="BH61" s="127"/>
      <c r="BI61" s="127"/>
      <c r="BJ61" s="127"/>
      <c r="BK61" s="127">
        <v>0</v>
      </c>
      <c r="BL61" s="127"/>
      <c r="BM61" s="127"/>
      <c r="BN61" s="127"/>
      <c r="BO61" s="127"/>
      <c r="BP61" s="127" t="s">
        <v>418</v>
      </c>
      <c r="BQ61" s="127" t="s">
        <v>419</v>
      </c>
      <c r="BR61" s="127" t="s">
        <v>420</v>
      </c>
      <c r="BS61" s="127" t="s">
        <v>421</v>
      </c>
      <c r="BT61" s="127" t="s">
        <v>188</v>
      </c>
      <c r="BU61" s="127" t="s">
        <v>189</v>
      </c>
      <c r="BV61" s="127" t="s">
        <v>205</v>
      </c>
      <c r="BW61" s="127" t="s">
        <v>343</v>
      </c>
      <c r="BX61" s="127" t="s">
        <v>422</v>
      </c>
      <c r="BY61" s="127" t="s">
        <v>189</v>
      </c>
      <c r="BZ61" s="127" t="s">
        <v>397</v>
      </c>
    </row>
    <row r="62" spans="1:78" s="121" customFormat="1" outlineLevel="2">
      <c r="B62" s="121" t="s">
        <v>175</v>
      </c>
      <c r="C62" s="121" t="s">
        <v>366</v>
      </c>
      <c r="D62" s="107" t="s">
        <v>195</v>
      </c>
      <c r="F62" s="107" t="s">
        <v>178</v>
      </c>
      <c r="H62" s="122" t="s">
        <v>423</v>
      </c>
      <c r="I62" s="124"/>
      <c r="J62" s="124"/>
      <c r="K62" s="124" t="s">
        <v>424</v>
      </c>
      <c r="L62" s="124" t="s">
        <v>273</v>
      </c>
      <c r="M62" s="125" t="s">
        <v>183</v>
      </c>
      <c r="N62" s="126">
        <f t="shared" si="9"/>
        <v>9000</v>
      </c>
      <c r="O62" s="127">
        <v>0</v>
      </c>
      <c r="P62" s="127"/>
      <c r="Q62" s="127"/>
      <c r="R62" s="127"/>
      <c r="S62" s="127"/>
      <c r="T62" s="127">
        <v>0</v>
      </c>
      <c r="U62" s="127"/>
      <c r="V62" s="127"/>
      <c r="W62" s="127"/>
      <c r="X62" s="127">
        <v>0</v>
      </c>
      <c r="Y62" s="127"/>
      <c r="Z62" s="127"/>
      <c r="AA62" s="127"/>
      <c r="AB62" s="127">
        <v>0</v>
      </c>
      <c r="AC62" s="127"/>
      <c r="AD62" s="127"/>
      <c r="AE62" s="127"/>
      <c r="AF62" s="127"/>
      <c r="AG62" s="127">
        <v>0</v>
      </c>
      <c r="AH62" s="127"/>
      <c r="AI62" s="127"/>
      <c r="AJ62" s="127"/>
      <c r="AK62" s="127"/>
      <c r="AL62" s="127">
        <v>1000</v>
      </c>
      <c r="AM62" s="127">
        <v>1000</v>
      </c>
      <c r="AN62" s="127">
        <v>1000</v>
      </c>
      <c r="AO62" s="127">
        <v>1000</v>
      </c>
      <c r="AP62" s="127">
        <v>1000</v>
      </c>
      <c r="AQ62" s="127">
        <v>1000</v>
      </c>
      <c r="AR62" s="127">
        <v>1000</v>
      </c>
      <c r="AS62" s="127">
        <v>1000</v>
      </c>
      <c r="AT62" s="127">
        <v>1000</v>
      </c>
      <c r="AU62" s="127"/>
      <c r="AV62" s="127"/>
      <c r="AW62" s="127"/>
      <c r="AX62" s="127">
        <v>0</v>
      </c>
      <c r="AY62" s="127"/>
      <c r="AZ62" s="127"/>
      <c r="BA62" s="127"/>
      <c r="BB62" s="127">
        <v>0</v>
      </c>
      <c r="BC62" s="127"/>
      <c r="BD62" s="127"/>
      <c r="BE62" s="127"/>
      <c r="BF62" s="127"/>
      <c r="BG62" s="127">
        <v>0</v>
      </c>
      <c r="BH62" s="127"/>
      <c r="BI62" s="127"/>
      <c r="BJ62" s="127"/>
      <c r="BK62" s="127">
        <v>0</v>
      </c>
      <c r="BL62" s="127"/>
      <c r="BM62" s="127"/>
      <c r="BN62" s="127"/>
      <c r="BO62" s="127"/>
      <c r="BP62" s="127" t="s">
        <v>425</v>
      </c>
      <c r="BQ62" s="127" t="s">
        <v>340</v>
      </c>
      <c r="BR62" s="127" t="s">
        <v>426</v>
      </c>
      <c r="BS62" s="127" t="s">
        <v>427</v>
      </c>
      <c r="BT62" s="127" t="s">
        <v>303</v>
      </c>
      <c r="BU62" s="127" t="s">
        <v>189</v>
      </c>
      <c r="BV62" s="127" t="s">
        <v>229</v>
      </c>
      <c r="BW62" s="127" t="s">
        <v>191</v>
      </c>
      <c r="BX62" s="127" t="s">
        <v>428</v>
      </c>
      <c r="BY62" s="127" t="s">
        <v>429</v>
      </c>
      <c r="BZ62" s="131" t="s">
        <v>280</v>
      </c>
    </row>
    <row r="63" spans="1:78" s="121" customFormat="1" outlineLevel="2">
      <c r="B63" s="121" t="s">
        <v>175</v>
      </c>
      <c r="C63" s="121" t="s">
        <v>366</v>
      </c>
      <c r="D63" s="107" t="s">
        <v>195</v>
      </c>
      <c r="F63" s="107" t="s">
        <v>178</v>
      </c>
      <c r="H63" s="122" t="s">
        <v>430</v>
      </c>
      <c r="I63" s="124"/>
      <c r="J63" s="124"/>
      <c r="K63" s="124" t="s">
        <v>431</v>
      </c>
      <c r="L63" s="124" t="s">
        <v>273</v>
      </c>
      <c r="M63" s="125" t="s">
        <v>183</v>
      </c>
      <c r="N63" s="126">
        <f t="shared" si="9"/>
        <v>6205</v>
      </c>
      <c r="O63" s="127"/>
      <c r="P63" s="127"/>
      <c r="Q63" s="127"/>
      <c r="R63" s="127"/>
      <c r="S63" s="127"/>
      <c r="T63" s="127">
        <v>0</v>
      </c>
      <c r="U63" s="127"/>
      <c r="V63" s="127"/>
      <c r="W63" s="127"/>
      <c r="X63" s="127">
        <v>0</v>
      </c>
      <c r="Y63" s="127"/>
      <c r="Z63" s="127"/>
      <c r="AA63" s="127"/>
      <c r="AB63" s="127">
        <v>0</v>
      </c>
      <c r="AC63" s="127"/>
      <c r="AD63" s="127"/>
      <c r="AE63" s="127"/>
      <c r="AF63" s="127"/>
      <c r="AG63" s="127">
        <v>0</v>
      </c>
      <c r="AH63" s="127"/>
      <c r="AI63" s="127"/>
      <c r="AJ63" s="127"/>
      <c r="AK63" s="127">
        <v>0</v>
      </c>
      <c r="AL63" s="127"/>
      <c r="AM63" s="127"/>
      <c r="AN63" s="127"/>
      <c r="AO63" s="127">
        <v>0</v>
      </c>
      <c r="AP63" s="127"/>
      <c r="AQ63" s="127"/>
      <c r="AR63" s="127"/>
      <c r="AS63" s="127">
        <v>2205</v>
      </c>
      <c r="AT63" s="127">
        <v>2000</v>
      </c>
      <c r="AU63" s="127">
        <v>2000</v>
      </c>
      <c r="AV63" s="127"/>
      <c r="AW63" s="127"/>
      <c r="AX63" s="127">
        <v>0</v>
      </c>
      <c r="AY63" s="127"/>
      <c r="AZ63" s="127"/>
      <c r="BA63" s="127"/>
      <c r="BB63" s="127">
        <v>0</v>
      </c>
      <c r="BC63" s="127"/>
      <c r="BD63" s="127"/>
      <c r="BE63" s="127"/>
      <c r="BF63" s="127"/>
      <c r="BG63" s="127">
        <v>0</v>
      </c>
      <c r="BH63" s="127"/>
      <c r="BI63" s="127"/>
      <c r="BJ63" s="127"/>
      <c r="BK63" s="127">
        <v>0</v>
      </c>
      <c r="BL63" s="127"/>
      <c r="BM63" s="127"/>
      <c r="BN63" s="127"/>
      <c r="BO63" s="127"/>
      <c r="BP63" s="127" t="s">
        <v>432</v>
      </c>
      <c r="BQ63" s="127" t="s">
        <v>275</v>
      </c>
      <c r="BR63" s="127" t="s">
        <v>189</v>
      </c>
      <c r="BS63" s="127" t="s">
        <v>189</v>
      </c>
      <c r="BT63" s="127" t="s">
        <v>188</v>
      </c>
      <c r="BU63" s="127" t="s">
        <v>189</v>
      </c>
      <c r="BV63" s="127" t="s">
        <v>229</v>
      </c>
      <c r="BW63" s="127" t="s">
        <v>191</v>
      </c>
      <c r="BX63" s="127" t="s">
        <v>189</v>
      </c>
      <c r="BY63" s="127" t="s">
        <v>189</v>
      </c>
      <c r="BZ63" s="131" t="s">
        <v>433</v>
      </c>
    </row>
    <row r="64" spans="1:78" s="121" customFormat="1" outlineLevel="2">
      <c r="B64" s="107" t="s">
        <v>175</v>
      </c>
      <c r="C64" s="145" t="s">
        <v>366</v>
      </c>
      <c r="D64" s="107" t="s">
        <v>195</v>
      </c>
      <c r="F64" s="107" t="s">
        <v>178</v>
      </c>
      <c r="G64" s="107" t="s">
        <v>434</v>
      </c>
      <c r="H64" s="122" t="s">
        <v>435</v>
      </c>
      <c r="I64" s="124" t="s">
        <v>436</v>
      </c>
      <c r="J64" s="124"/>
      <c r="K64" s="124" t="s">
        <v>437</v>
      </c>
      <c r="L64" s="124" t="s">
        <v>273</v>
      </c>
      <c r="M64" s="125" t="s">
        <v>183</v>
      </c>
      <c r="N64" s="126">
        <f t="shared" si="9"/>
        <v>0</v>
      </c>
      <c r="O64" s="127"/>
      <c r="P64" s="127"/>
      <c r="Q64" s="127"/>
      <c r="R64" s="127"/>
      <c r="S64" s="127"/>
      <c r="T64" s="127">
        <v>0</v>
      </c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>
        <v>0</v>
      </c>
      <c r="AL64" s="127"/>
      <c r="AM64" s="127"/>
      <c r="AN64" s="127"/>
      <c r="AO64" s="127">
        <v>0</v>
      </c>
      <c r="AP64" s="127"/>
      <c r="AQ64" s="127"/>
      <c r="AR64" s="127"/>
      <c r="AS64" s="127"/>
      <c r="AT64" s="127">
        <v>0</v>
      </c>
      <c r="AU64" s="127"/>
      <c r="AV64" s="127"/>
      <c r="AW64" s="127"/>
      <c r="AX64" s="127">
        <v>0</v>
      </c>
      <c r="AY64" s="127"/>
      <c r="AZ64" s="127"/>
      <c r="BA64" s="127"/>
      <c r="BB64" s="127">
        <v>0</v>
      </c>
      <c r="BC64" s="127"/>
      <c r="BD64" s="127"/>
      <c r="BE64" s="127"/>
      <c r="BF64" s="127"/>
      <c r="BG64" s="127">
        <v>0</v>
      </c>
      <c r="BH64" s="127"/>
      <c r="BI64" s="127"/>
      <c r="BJ64" s="127"/>
      <c r="BK64" s="127">
        <v>0</v>
      </c>
      <c r="BL64" s="127"/>
      <c r="BM64" s="127"/>
      <c r="BN64" s="127"/>
      <c r="BO64" s="127"/>
      <c r="BP64" s="127" t="s">
        <v>438</v>
      </c>
      <c r="BQ64" s="127" t="s">
        <v>185</v>
      </c>
      <c r="BR64" s="127" t="s">
        <v>439</v>
      </c>
      <c r="BS64" s="127" t="s">
        <v>440</v>
      </c>
      <c r="BT64" s="127" t="s">
        <v>188</v>
      </c>
      <c r="BU64" s="127" t="s">
        <v>189</v>
      </c>
      <c r="BV64" s="127" t="s">
        <v>188</v>
      </c>
      <c r="BW64" s="127" t="s">
        <v>191</v>
      </c>
      <c r="BX64" s="127" t="s">
        <v>189</v>
      </c>
      <c r="BY64" s="127" t="s">
        <v>189</v>
      </c>
      <c r="BZ64" s="127" t="s">
        <v>441</v>
      </c>
    </row>
    <row r="65" spans="2:78" s="121" customFormat="1" outlineLevel="2">
      <c r="B65" s="107" t="s">
        <v>175</v>
      </c>
      <c r="C65" s="145" t="s">
        <v>366</v>
      </c>
      <c r="D65" s="107" t="s">
        <v>195</v>
      </c>
      <c r="F65" s="107" t="s">
        <v>178</v>
      </c>
      <c r="G65" s="107" t="s">
        <v>199</v>
      </c>
      <c r="H65" s="122" t="s">
        <v>271</v>
      </c>
      <c r="I65" s="124"/>
      <c r="J65" s="124"/>
      <c r="K65" s="124" t="s">
        <v>272</v>
      </c>
      <c r="L65" s="124" t="s">
        <v>273</v>
      </c>
      <c r="M65" s="125" t="s">
        <v>183</v>
      </c>
      <c r="N65" s="126">
        <f t="shared" si="9"/>
        <v>1200</v>
      </c>
      <c r="O65" s="127">
        <v>0</v>
      </c>
      <c r="P65" s="127"/>
      <c r="Q65" s="127"/>
      <c r="R65" s="127"/>
      <c r="S65" s="127"/>
      <c r="T65" s="127">
        <v>0</v>
      </c>
      <c r="U65" s="127"/>
      <c r="V65" s="127"/>
      <c r="W65" s="127"/>
      <c r="X65" s="127"/>
      <c r="Y65" s="127"/>
      <c r="Z65" s="127"/>
      <c r="AA65" s="130">
        <v>1200</v>
      </c>
      <c r="AB65" s="127">
        <v>0</v>
      </c>
      <c r="AC65" s="127"/>
      <c r="AD65" s="127"/>
      <c r="AE65" s="127"/>
      <c r="AF65" s="127"/>
      <c r="AG65" s="127"/>
      <c r="AH65" s="127"/>
      <c r="AI65" s="127"/>
      <c r="AJ65" s="127"/>
      <c r="AK65" s="127">
        <v>0</v>
      </c>
      <c r="AL65" s="127"/>
      <c r="AM65" s="127"/>
      <c r="AN65" s="127"/>
      <c r="AO65" s="127">
        <v>0</v>
      </c>
      <c r="AP65" s="127"/>
      <c r="AQ65" s="127"/>
      <c r="AR65" s="127"/>
      <c r="AS65" s="127"/>
      <c r="AT65" s="127">
        <v>0</v>
      </c>
      <c r="AU65" s="127"/>
      <c r="AV65" s="127"/>
      <c r="AW65" s="127"/>
      <c r="AX65" s="127">
        <v>0</v>
      </c>
      <c r="AY65" s="127"/>
      <c r="AZ65" s="127"/>
      <c r="BA65" s="127"/>
      <c r="BB65" s="127">
        <v>0</v>
      </c>
      <c r="BC65" s="127"/>
      <c r="BD65" s="127"/>
      <c r="BE65" s="127"/>
      <c r="BF65" s="127"/>
      <c r="BG65" s="127">
        <v>0</v>
      </c>
      <c r="BH65" s="127"/>
      <c r="BI65" s="127"/>
      <c r="BJ65" s="127"/>
      <c r="BK65" s="127">
        <v>0</v>
      </c>
      <c r="BL65" s="127"/>
      <c r="BM65" s="127"/>
      <c r="BN65" s="127"/>
      <c r="BO65" s="127"/>
      <c r="BP65" s="127" t="s">
        <v>274</v>
      </c>
      <c r="BQ65" s="127" t="s">
        <v>275</v>
      </c>
      <c r="BR65" s="127" t="s">
        <v>276</v>
      </c>
      <c r="BS65" s="127" t="s">
        <v>277</v>
      </c>
      <c r="BT65" s="127" t="s">
        <v>188</v>
      </c>
      <c r="BU65" s="127" t="s">
        <v>189</v>
      </c>
      <c r="BV65" s="127" t="s">
        <v>205</v>
      </c>
      <c r="BW65" s="127" t="s">
        <v>191</v>
      </c>
      <c r="BX65" s="127" t="s">
        <v>278</v>
      </c>
      <c r="BY65" s="127" t="s">
        <v>279</v>
      </c>
      <c r="BZ65" s="131" t="s">
        <v>280</v>
      </c>
    </row>
    <row r="66" spans="2:78" s="121" customFormat="1" outlineLevel="2">
      <c r="B66" s="107" t="s">
        <v>175</v>
      </c>
      <c r="C66" s="145" t="s">
        <v>366</v>
      </c>
      <c r="D66" s="107" t="s">
        <v>195</v>
      </c>
      <c r="F66" s="107" t="s">
        <v>178</v>
      </c>
      <c r="G66" s="107" t="s">
        <v>199</v>
      </c>
      <c r="H66" s="122" t="s">
        <v>442</v>
      </c>
      <c r="I66" s="124"/>
      <c r="J66" s="124"/>
      <c r="K66" s="124" t="s">
        <v>443</v>
      </c>
      <c r="L66" s="124" t="s">
        <v>372</v>
      </c>
      <c r="M66" s="125" t="s">
        <v>183</v>
      </c>
      <c r="N66" s="126">
        <f t="shared" si="9"/>
        <v>0</v>
      </c>
      <c r="O66" s="127"/>
      <c r="P66" s="127"/>
      <c r="Q66" s="127"/>
      <c r="R66" s="127"/>
      <c r="S66" s="127"/>
      <c r="T66" s="127">
        <v>0</v>
      </c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31"/>
    </row>
    <row r="67" spans="2:78" s="121" customFormat="1" outlineLevel="2">
      <c r="B67" s="107" t="s">
        <v>175</v>
      </c>
      <c r="C67" s="145" t="s">
        <v>366</v>
      </c>
      <c r="D67" s="107" t="s">
        <v>195</v>
      </c>
      <c r="F67" s="107" t="s">
        <v>178</v>
      </c>
      <c r="G67" s="107" t="s">
        <v>199</v>
      </c>
      <c r="H67" s="122" t="s">
        <v>442</v>
      </c>
      <c r="I67" s="124"/>
      <c r="J67" s="124"/>
      <c r="K67" s="124" t="s">
        <v>444</v>
      </c>
      <c r="L67" s="124" t="s">
        <v>372</v>
      </c>
      <c r="M67" s="125" t="s">
        <v>183</v>
      </c>
      <c r="N67" s="126">
        <f t="shared" si="9"/>
        <v>2200</v>
      </c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30">
        <v>1100</v>
      </c>
      <c r="Z67" s="127"/>
      <c r="AA67" s="127"/>
      <c r="AB67" s="130">
        <v>1100</v>
      </c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31"/>
    </row>
    <row r="68" spans="2:78" s="121" customFormat="1" outlineLevel="2">
      <c r="B68" s="107" t="s">
        <v>175</v>
      </c>
      <c r="C68" s="145" t="s">
        <v>366</v>
      </c>
      <c r="D68" s="107" t="s">
        <v>195</v>
      </c>
      <c r="F68" s="149" t="s">
        <v>178</v>
      </c>
      <c r="G68" s="107" t="s">
        <v>199</v>
      </c>
      <c r="H68" s="122" t="s">
        <v>445</v>
      </c>
      <c r="I68" s="124"/>
      <c r="J68" s="124"/>
      <c r="K68" s="124" t="s">
        <v>446</v>
      </c>
      <c r="L68" s="124" t="s">
        <v>273</v>
      </c>
      <c r="M68" s="125" t="s">
        <v>183</v>
      </c>
      <c r="N68" s="126">
        <f>SUM(O68:BO68)</f>
        <v>2400</v>
      </c>
      <c r="O68" s="127">
        <v>0</v>
      </c>
      <c r="P68" s="127"/>
      <c r="Q68" s="127"/>
      <c r="R68" s="127"/>
      <c r="S68" s="127"/>
      <c r="T68" s="127"/>
      <c r="U68" s="130">
        <v>1200</v>
      </c>
      <c r="V68" s="127"/>
      <c r="W68" s="130">
        <v>1200</v>
      </c>
      <c r="X68" s="127">
        <v>0</v>
      </c>
      <c r="Y68" s="127"/>
      <c r="Z68" s="127"/>
      <c r="AA68" s="127"/>
      <c r="AB68" s="127">
        <v>0</v>
      </c>
      <c r="AC68" s="127"/>
      <c r="AD68" s="127"/>
      <c r="AE68" s="127"/>
      <c r="AF68" s="127"/>
      <c r="AG68" s="127">
        <v>0</v>
      </c>
      <c r="AH68" s="127"/>
      <c r="AI68" s="127"/>
      <c r="AJ68" s="127"/>
      <c r="AK68" s="127">
        <v>0</v>
      </c>
      <c r="AL68" s="127"/>
      <c r="AM68" s="127"/>
      <c r="AN68" s="127"/>
      <c r="AO68" s="127">
        <v>0</v>
      </c>
      <c r="AP68" s="127"/>
      <c r="AQ68" s="127"/>
      <c r="AR68" s="127"/>
      <c r="AS68" s="127"/>
      <c r="AT68" s="127">
        <v>0</v>
      </c>
      <c r="AU68" s="127"/>
      <c r="AV68" s="127"/>
      <c r="AW68" s="127"/>
      <c r="AX68" s="127">
        <v>0</v>
      </c>
      <c r="AY68" s="127"/>
      <c r="AZ68" s="127"/>
      <c r="BA68" s="127"/>
      <c r="BB68" s="127">
        <v>0</v>
      </c>
      <c r="BC68" s="127"/>
      <c r="BD68" s="127"/>
      <c r="BE68" s="127"/>
      <c r="BF68" s="127"/>
      <c r="BG68" s="127">
        <v>0</v>
      </c>
      <c r="BH68" s="127"/>
      <c r="BI68" s="127"/>
      <c r="BJ68" s="127"/>
      <c r="BK68" s="127">
        <v>0</v>
      </c>
      <c r="BL68" s="127"/>
      <c r="BM68" s="127"/>
      <c r="BN68" s="127"/>
      <c r="BO68" s="127"/>
      <c r="BP68" s="127" t="s">
        <v>447</v>
      </c>
      <c r="BQ68" s="127" t="s">
        <v>448</v>
      </c>
      <c r="BR68" s="127" t="s">
        <v>449</v>
      </c>
      <c r="BS68" s="127" t="s">
        <v>450</v>
      </c>
      <c r="BT68" s="127" t="s">
        <v>188</v>
      </c>
      <c r="BU68" s="127" t="s">
        <v>189</v>
      </c>
      <c r="BV68" s="127" t="s">
        <v>304</v>
      </c>
      <c r="BW68" s="127" t="s">
        <v>343</v>
      </c>
      <c r="BX68" s="127" t="s">
        <v>451</v>
      </c>
      <c r="BY68" s="127" t="s">
        <v>452</v>
      </c>
      <c r="BZ68" s="127" t="s">
        <v>441</v>
      </c>
    </row>
    <row r="69" spans="2:78" s="121" customFormat="1" outlineLevel="2">
      <c r="B69" s="107" t="s">
        <v>175</v>
      </c>
      <c r="C69" s="145" t="s">
        <v>366</v>
      </c>
      <c r="D69" s="107" t="s">
        <v>195</v>
      </c>
      <c r="F69" s="149" t="s">
        <v>178</v>
      </c>
      <c r="G69" s="107" t="s">
        <v>199</v>
      </c>
      <c r="H69" s="122" t="s">
        <v>453</v>
      </c>
      <c r="I69" s="124"/>
      <c r="J69" s="124"/>
      <c r="K69" s="124" t="s">
        <v>446</v>
      </c>
      <c r="L69" s="124" t="s">
        <v>273</v>
      </c>
      <c r="M69" s="125" t="s">
        <v>183</v>
      </c>
      <c r="N69" s="126">
        <f>SUM(O69:BO69)</f>
        <v>1200</v>
      </c>
      <c r="O69" s="127"/>
      <c r="P69" s="127"/>
      <c r="Q69" s="127"/>
      <c r="R69" s="127"/>
      <c r="S69" s="127"/>
      <c r="T69" s="127"/>
      <c r="U69" s="127"/>
      <c r="V69" s="127"/>
      <c r="W69" s="127"/>
      <c r="X69" s="130">
        <v>1200</v>
      </c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</row>
    <row r="70" spans="2:78" s="121" customFormat="1" outlineLevel="2">
      <c r="B70" s="107" t="s">
        <v>175</v>
      </c>
      <c r="C70" s="145" t="s">
        <v>366</v>
      </c>
      <c r="D70" s="107" t="s">
        <v>195</v>
      </c>
      <c r="F70" s="149" t="s">
        <v>178</v>
      </c>
      <c r="G70" s="107" t="s">
        <v>199</v>
      </c>
      <c r="H70" s="122" t="s">
        <v>454</v>
      </c>
      <c r="I70" s="124"/>
      <c r="J70" s="124"/>
      <c r="K70" s="124" t="s">
        <v>455</v>
      </c>
      <c r="L70" s="124" t="s">
        <v>182</v>
      </c>
      <c r="M70" s="125" t="s">
        <v>183</v>
      </c>
      <c r="N70" s="126">
        <f>SUM(O70:BO70)</f>
        <v>1050</v>
      </c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30">
        <v>1050</v>
      </c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</row>
    <row r="71" spans="2:78" s="121" customFormat="1" outlineLevel="2">
      <c r="B71" s="107" t="s">
        <v>175</v>
      </c>
      <c r="C71" s="145" t="s">
        <v>366</v>
      </c>
      <c r="D71" s="107"/>
      <c r="F71" s="149" t="s">
        <v>89</v>
      </c>
      <c r="G71" s="107" t="s">
        <v>199</v>
      </c>
      <c r="H71" s="122" t="s">
        <v>456</v>
      </c>
      <c r="I71" s="124"/>
      <c r="J71" s="124"/>
      <c r="K71" s="124" t="s">
        <v>457</v>
      </c>
      <c r="L71" s="124" t="s">
        <v>372</v>
      </c>
      <c r="M71" s="125" t="s">
        <v>183</v>
      </c>
      <c r="N71" s="126">
        <f>SUM(O71:BO71)</f>
        <v>3000</v>
      </c>
      <c r="O71" s="127"/>
      <c r="P71" s="127"/>
      <c r="Q71" s="127"/>
      <c r="R71" s="127"/>
      <c r="S71" s="127"/>
      <c r="T71" s="127"/>
      <c r="U71" s="130">
        <v>1500</v>
      </c>
      <c r="V71" s="130">
        <v>1500</v>
      </c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</row>
    <row r="72" spans="2:78" s="121" customFormat="1" outlineLevel="2">
      <c r="B72" s="107" t="s">
        <v>175</v>
      </c>
      <c r="C72" s="145" t="s">
        <v>366</v>
      </c>
      <c r="D72" s="107" t="s">
        <v>195</v>
      </c>
      <c r="E72" s="150" t="s">
        <v>458</v>
      </c>
      <c r="F72" s="149" t="s">
        <v>178</v>
      </c>
      <c r="G72" s="107" t="s">
        <v>199</v>
      </c>
      <c r="H72" s="122" t="s">
        <v>456</v>
      </c>
      <c r="I72" s="124"/>
      <c r="J72" s="124"/>
      <c r="K72" s="124" t="s">
        <v>459</v>
      </c>
      <c r="L72" s="124" t="s">
        <v>372</v>
      </c>
      <c r="M72" s="125" t="s">
        <v>183</v>
      </c>
      <c r="N72" s="126">
        <f>SUM(O72:BO72)</f>
        <v>1000</v>
      </c>
      <c r="O72" s="127"/>
      <c r="P72" s="127"/>
      <c r="Q72" s="127"/>
      <c r="R72" s="127"/>
      <c r="S72" s="127"/>
      <c r="T72" s="127"/>
      <c r="U72" s="127"/>
      <c r="V72" s="130">
        <v>1000</v>
      </c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</row>
    <row r="73" spans="2:78" s="121" customFormat="1" outlineLevel="2">
      <c r="B73" s="107" t="s">
        <v>175</v>
      </c>
      <c r="C73" s="145" t="s">
        <v>366</v>
      </c>
      <c r="D73" s="121" t="s">
        <v>195</v>
      </c>
      <c r="E73" s="102"/>
      <c r="F73" s="107" t="s">
        <v>178</v>
      </c>
      <c r="G73" s="107"/>
      <c r="H73" s="122" t="s">
        <v>460</v>
      </c>
      <c r="I73" s="129"/>
      <c r="J73" s="129"/>
      <c r="K73" s="124" t="s">
        <v>461</v>
      </c>
      <c r="L73" s="124"/>
      <c r="M73" s="151" t="s">
        <v>249</v>
      </c>
      <c r="N73" s="126">
        <f t="shared" si="9"/>
        <v>4800</v>
      </c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30">
        <v>1200</v>
      </c>
      <c r="Z73" s="127"/>
      <c r="AA73" s="130">
        <v>1200</v>
      </c>
      <c r="AB73" s="127"/>
      <c r="AC73" s="127"/>
      <c r="AD73" s="127"/>
      <c r="AE73" s="127"/>
      <c r="AF73" s="127"/>
      <c r="AG73" s="127"/>
      <c r="AH73" s="130">
        <v>1200</v>
      </c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30">
        <v>1200</v>
      </c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</row>
    <row r="74" spans="2:78" s="121" customFormat="1" outlineLevel="2">
      <c r="B74" s="107" t="s">
        <v>175</v>
      </c>
      <c r="C74" s="145" t="s">
        <v>366</v>
      </c>
      <c r="D74" s="121" t="s">
        <v>195</v>
      </c>
      <c r="E74" s="102"/>
      <c r="F74" s="107" t="s">
        <v>178</v>
      </c>
      <c r="G74" s="145"/>
      <c r="H74" s="122" t="s">
        <v>460</v>
      </c>
      <c r="I74" s="129"/>
      <c r="J74" s="129"/>
      <c r="K74" s="124" t="s">
        <v>462</v>
      </c>
      <c r="L74" s="124"/>
      <c r="M74" s="151" t="s">
        <v>249</v>
      </c>
      <c r="N74" s="126">
        <f t="shared" si="9"/>
        <v>4800</v>
      </c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30">
        <v>1200</v>
      </c>
      <c r="AA74" s="127"/>
      <c r="AB74" s="130">
        <v>1200</v>
      </c>
      <c r="AC74" s="127"/>
      <c r="AD74" s="127"/>
      <c r="AE74" s="127"/>
      <c r="AF74" s="127"/>
      <c r="AG74" s="130">
        <v>1200</v>
      </c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30">
        <v>1200</v>
      </c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</row>
    <row r="75" spans="2:78" s="121" customFormat="1" outlineLevel="2">
      <c r="B75" s="107" t="s">
        <v>175</v>
      </c>
      <c r="C75" s="145" t="s">
        <v>366</v>
      </c>
      <c r="D75" s="121" t="s">
        <v>195</v>
      </c>
      <c r="E75" s="102"/>
      <c r="F75" s="107" t="s">
        <v>178</v>
      </c>
      <c r="G75" s="107"/>
      <c r="H75" s="122" t="s">
        <v>460</v>
      </c>
      <c r="I75" s="129"/>
      <c r="J75" s="129"/>
      <c r="K75" s="124" t="s">
        <v>463</v>
      </c>
      <c r="L75" s="124"/>
      <c r="M75" s="151" t="s">
        <v>249</v>
      </c>
      <c r="N75" s="126">
        <f t="shared" si="9"/>
        <v>4800</v>
      </c>
      <c r="O75" s="127"/>
      <c r="P75" s="127"/>
      <c r="Q75" s="127"/>
      <c r="R75" s="127"/>
      <c r="S75" s="127"/>
      <c r="T75" s="127"/>
      <c r="U75" s="127"/>
      <c r="V75" s="127"/>
      <c r="W75" s="127"/>
      <c r="X75" s="130">
        <v>1200</v>
      </c>
      <c r="Y75" s="127"/>
      <c r="Z75" s="127"/>
      <c r="AA75" s="127"/>
      <c r="AB75" s="127"/>
      <c r="AC75" s="130">
        <v>1200</v>
      </c>
      <c r="AD75" s="130">
        <v>1200</v>
      </c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30">
        <v>1200</v>
      </c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</row>
    <row r="76" spans="2:78" s="121" customFormat="1" outlineLevel="2">
      <c r="B76" s="107" t="s">
        <v>175</v>
      </c>
      <c r="C76" s="145" t="s">
        <v>366</v>
      </c>
      <c r="D76" s="121" t="s">
        <v>195</v>
      </c>
      <c r="E76" s="102"/>
      <c r="F76" s="107" t="s">
        <v>178</v>
      </c>
      <c r="G76" s="145"/>
      <c r="H76" s="122" t="s">
        <v>460</v>
      </c>
      <c r="I76" s="129"/>
      <c r="J76" s="129"/>
      <c r="K76" s="124" t="s">
        <v>464</v>
      </c>
      <c r="L76" s="124"/>
      <c r="M76" s="151" t="s">
        <v>249</v>
      </c>
      <c r="N76" s="126">
        <f t="shared" si="9"/>
        <v>4800</v>
      </c>
      <c r="O76" s="127"/>
      <c r="P76" s="127"/>
      <c r="Q76" s="127"/>
      <c r="R76" s="127"/>
      <c r="S76" s="127"/>
      <c r="T76" s="127"/>
      <c r="U76" s="127"/>
      <c r="V76" s="130">
        <v>1200</v>
      </c>
      <c r="W76" s="130">
        <v>1200</v>
      </c>
      <c r="X76" s="127"/>
      <c r="Y76" s="127"/>
      <c r="Z76" s="127"/>
      <c r="AA76" s="127"/>
      <c r="AB76" s="127"/>
      <c r="AC76" s="127"/>
      <c r="AD76" s="127"/>
      <c r="AE76" s="130">
        <v>1200</v>
      </c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30">
        <v>1200</v>
      </c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</row>
    <row r="77" spans="2:78" s="121" customFormat="1" outlineLevel="2">
      <c r="B77" s="107" t="s">
        <v>175</v>
      </c>
      <c r="C77" s="145" t="s">
        <v>366</v>
      </c>
      <c r="D77" s="121" t="s">
        <v>195</v>
      </c>
      <c r="E77" s="102"/>
      <c r="F77" s="107" t="s">
        <v>178</v>
      </c>
      <c r="G77" s="107"/>
      <c r="H77" s="122" t="s">
        <v>460</v>
      </c>
      <c r="I77" s="129"/>
      <c r="J77" s="129"/>
      <c r="K77" s="124" t="s">
        <v>465</v>
      </c>
      <c r="L77" s="124"/>
      <c r="M77" s="151" t="s">
        <v>249</v>
      </c>
      <c r="N77" s="126">
        <f t="shared" si="9"/>
        <v>7200</v>
      </c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30">
        <v>2000</v>
      </c>
      <c r="AB77" s="130">
        <v>1000</v>
      </c>
      <c r="AC77" s="130">
        <v>1000</v>
      </c>
      <c r="AD77" s="127"/>
      <c r="AE77" s="127"/>
      <c r="AF77" s="127"/>
      <c r="AG77" s="127"/>
      <c r="AH77" s="127"/>
      <c r="AI77" s="127"/>
      <c r="AJ77" s="127"/>
      <c r="AK77" s="127"/>
      <c r="AL77" s="127"/>
      <c r="AM77" s="127">
        <v>1000</v>
      </c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30">
        <v>1200</v>
      </c>
      <c r="BE77" s="127"/>
      <c r="BF77" s="127">
        <v>1000</v>
      </c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</row>
    <row r="78" spans="2:78" s="121" customFormat="1" outlineLevel="2">
      <c r="B78" s="107" t="s">
        <v>175</v>
      </c>
      <c r="C78" s="145" t="s">
        <v>366</v>
      </c>
      <c r="D78" s="107" t="s">
        <v>198</v>
      </c>
      <c r="E78" s="102"/>
      <c r="F78" s="107" t="s">
        <v>178</v>
      </c>
      <c r="G78" s="107"/>
      <c r="H78" s="147" t="s">
        <v>466</v>
      </c>
      <c r="I78" s="129"/>
      <c r="J78" s="129"/>
      <c r="K78" s="124"/>
      <c r="L78" s="124"/>
      <c r="M78" s="125" t="s">
        <v>183</v>
      </c>
      <c r="N78" s="124">
        <v>25000</v>
      </c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</row>
    <row r="79" spans="2:78" s="121" customFormat="1" outlineLevel="2">
      <c r="B79" s="107" t="s">
        <v>175</v>
      </c>
      <c r="C79" s="145" t="s">
        <v>366</v>
      </c>
      <c r="D79" s="107" t="s">
        <v>198</v>
      </c>
      <c r="E79" s="102"/>
      <c r="F79" s="107" t="s">
        <v>178</v>
      </c>
      <c r="G79" s="107"/>
      <c r="H79" s="147" t="s">
        <v>467</v>
      </c>
      <c r="I79" s="129"/>
      <c r="J79" s="129"/>
      <c r="K79" s="124"/>
      <c r="L79" s="124"/>
      <c r="M79" s="125" t="s">
        <v>183</v>
      </c>
      <c r="N79" s="124">
        <v>13000</v>
      </c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</row>
    <row r="80" spans="2:78" s="121" customFormat="1" outlineLevel="2">
      <c r="B80" s="107" t="s">
        <v>175</v>
      </c>
      <c r="C80" s="145" t="s">
        <v>366</v>
      </c>
      <c r="D80" s="107" t="s">
        <v>468</v>
      </c>
      <c r="E80" s="102"/>
      <c r="F80" s="107" t="s">
        <v>178</v>
      </c>
      <c r="G80" s="107"/>
      <c r="H80" s="147" t="s">
        <v>469</v>
      </c>
      <c r="I80" s="129"/>
      <c r="J80" s="129"/>
      <c r="K80" s="124"/>
      <c r="L80" s="124"/>
      <c r="M80" s="125" t="s">
        <v>183</v>
      </c>
      <c r="N80" s="124">
        <v>10000</v>
      </c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</row>
    <row r="81" spans="2:78" s="139" customFormat="1" outlineLevel="1">
      <c r="C81" s="140" t="s">
        <v>470</v>
      </c>
      <c r="H81" s="141"/>
      <c r="I81" s="141"/>
      <c r="J81" s="141"/>
      <c r="K81" s="141"/>
      <c r="L81" s="141"/>
      <c r="M81" s="142"/>
      <c r="N81" s="143">
        <f t="shared" ref="N81:BO81" si="10">SUBTOTAL(9,N52:N80)</f>
        <v>274481</v>
      </c>
      <c r="O81" s="144">
        <f t="shared" si="10"/>
        <v>0</v>
      </c>
      <c r="P81" s="144">
        <f t="shared" si="10"/>
        <v>0</v>
      </c>
      <c r="Q81" s="144">
        <f t="shared" si="10"/>
        <v>0</v>
      </c>
      <c r="R81" s="144">
        <f t="shared" si="10"/>
        <v>0</v>
      </c>
      <c r="S81" s="144">
        <f t="shared" si="10"/>
        <v>0</v>
      </c>
      <c r="T81" s="144">
        <f t="shared" si="10"/>
        <v>0</v>
      </c>
      <c r="U81" s="144">
        <f t="shared" si="10"/>
        <v>2700</v>
      </c>
      <c r="V81" s="144">
        <f t="shared" si="10"/>
        <v>3700</v>
      </c>
      <c r="W81" s="144">
        <f t="shared" si="10"/>
        <v>2400</v>
      </c>
      <c r="X81" s="144">
        <f t="shared" si="10"/>
        <v>2400</v>
      </c>
      <c r="Y81" s="144">
        <f t="shared" si="10"/>
        <v>4700</v>
      </c>
      <c r="Z81" s="144">
        <f t="shared" si="10"/>
        <v>3450</v>
      </c>
      <c r="AA81" s="144">
        <f t="shared" si="10"/>
        <v>5600</v>
      </c>
      <c r="AB81" s="144">
        <f t="shared" si="10"/>
        <v>4500</v>
      </c>
      <c r="AC81" s="144">
        <f t="shared" si="10"/>
        <v>3400</v>
      </c>
      <c r="AD81" s="144">
        <f t="shared" si="10"/>
        <v>1200</v>
      </c>
      <c r="AE81" s="144">
        <f t="shared" si="10"/>
        <v>2400</v>
      </c>
      <c r="AF81" s="144">
        <f t="shared" si="10"/>
        <v>0</v>
      </c>
      <c r="AG81" s="144">
        <f t="shared" si="10"/>
        <v>1200</v>
      </c>
      <c r="AH81" s="144">
        <f t="shared" si="10"/>
        <v>1200</v>
      </c>
      <c r="AI81" s="144">
        <f t="shared" si="10"/>
        <v>1200</v>
      </c>
      <c r="AJ81" s="144">
        <f t="shared" si="10"/>
        <v>1200</v>
      </c>
      <c r="AK81" s="144">
        <f t="shared" si="10"/>
        <v>2400</v>
      </c>
      <c r="AL81" s="144">
        <f t="shared" si="10"/>
        <v>3400</v>
      </c>
      <c r="AM81" s="144">
        <f t="shared" si="10"/>
        <v>4400</v>
      </c>
      <c r="AN81" s="144">
        <f t="shared" si="10"/>
        <v>3400</v>
      </c>
      <c r="AO81" s="144">
        <f t="shared" si="10"/>
        <v>7326</v>
      </c>
      <c r="AP81" s="144">
        <f t="shared" si="10"/>
        <v>6000</v>
      </c>
      <c r="AQ81" s="144">
        <f t="shared" si="10"/>
        <v>6000</v>
      </c>
      <c r="AR81" s="144">
        <f t="shared" si="10"/>
        <v>7000</v>
      </c>
      <c r="AS81" s="144">
        <f t="shared" si="10"/>
        <v>12505</v>
      </c>
      <c r="AT81" s="144">
        <f t="shared" si="10"/>
        <v>13300</v>
      </c>
      <c r="AU81" s="144">
        <f t="shared" si="10"/>
        <v>12300</v>
      </c>
      <c r="AV81" s="144">
        <f t="shared" si="10"/>
        <v>10300</v>
      </c>
      <c r="AW81" s="144">
        <f t="shared" si="10"/>
        <v>10300</v>
      </c>
      <c r="AX81" s="144">
        <f t="shared" si="10"/>
        <v>11500</v>
      </c>
      <c r="AY81" s="144">
        <f t="shared" si="10"/>
        <v>9300</v>
      </c>
      <c r="AZ81" s="144">
        <f t="shared" si="10"/>
        <v>6700</v>
      </c>
      <c r="BA81" s="144">
        <f t="shared" si="10"/>
        <v>7700</v>
      </c>
      <c r="BB81" s="144">
        <f t="shared" si="10"/>
        <v>8850</v>
      </c>
      <c r="BC81" s="144">
        <f t="shared" si="10"/>
        <v>5550</v>
      </c>
      <c r="BD81" s="144">
        <f t="shared" si="10"/>
        <v>5550</v>
      </c>
      <c r="BE81" s="144">
        <f t="shared" si="10"/>
        <v>4350</v>
      </c>
      <c r="BF81" s="144">
        <f t="shared" si="10"/>
        <v>5350</v>
      </c>
      <c r="BG81" s="144">
        <f t="shared" si="10"/>
        <v>4350</v>
      </c>
      <c r="BH81" s="144">
        <f t="shared" si="10"/>
        <v>4350</v>
      </c>
      <c r="BI81" s="144">
        <f t="shared" si="10"/>
        <v>4350</v>
      </c>
      <c r="BJ81" s="144">
        <f t="shared" si="10"/>
        <v>4350</v>
      </c>
      <c r="BK81" s="144">
        <f t="shared" si="10"/>
        <v>4350</v>
      </c>
      <c r="BL81" s="144">
        <f t="shared" si="10"/>
        <v>0</v>
      </c>
      <c r="BM81" s="144">
        <f t="shared" si="10"/>
        <v>0</v>
      </c>
      <c r="BN81" s="144">
        <f t="shared" si="10"/>
        <v>0</v>
      </c>
      <c r="BO81" s="144">
        <f t="shared" si="10"/>
        <v>0</v>
      </c>
      <c r="BP81" s="144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>
        <f>SUBTOTAL(9,BZ52:BZ61)</f>
        <v>0</v>
      </c>
    </row>
    <row r="82" spans="2:78" s="121" customFormat="1" outlineLevel="2">
      <c r="B82" s="121" t="s">
        <v>471</v>
      </c>
      <c r="C82" s="121" t="s">
        <v>472</v>
      </c>
      <c r="F82" s="107" t="s">
        <v>473</v>
      </c>
      <c r="G82" s="107" t="s">
        <v>388</v>
      </c>
      <c r="H82" s="122" t="s">
        <v>474</v>
      </c>
      <c r="I82" s="124" t="s">
        <v>475</v>
      </c>
      <c r="J82" s="124"/>
      <c r="K82" s="124" t="s">
        <v>476</v>
      </c>
      <c r="L82" s="124" t="s">
        <v>315</v>
      </c>
      <c r="M82" s="125" t="s">
        <v>183</v>
      </c>
      <c r="N82" s="126">
        <f t="shared" ref="N82:N94" si="11">SUM(O82:BO82)</f>
        <v>0</v>
      </c>
      <c r="O82" s="127"/>
      <c r="P82" s="127"/>
      <c r="Q82" s="127"/>
      <c r="R82" s="127"/>
      <c r="S82" s="127"/>
      <c r="T82" s="127">
        <v>0</v>
      </c>
      <c r="U82" s="127"/>
      <c r="V82" s="127"/>
      <c r="W82" s="127"/>
      <c r="X82" s="127">
        <v>0</v>
      </c>
      <c r="Y82" s="127"/>
      <c r="Z82" s="127"/>
      <c r="AA82" s="127"/>
      <c r="AB82" s="127">
        <v>0</v>
      </c>
      <c r="AC82" s="127"/>
      <c r="AD82" s="127"/>
      <c r="AE82" s="127"/>
      <c r="AF82" s="127"/>
      <c r="AG82" s="127">
        <v>0</v>
      </c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>
        <v>0</v>
      </c>
      <c r="AU82" s="127"/>
      <c r="AV82" s="127"/>
      <c r="AW82" s="127"/>
      <c r="AX82" s="127">
        <v>0</v>
      </c>
      <c r="AY82" s="127"/>
      <c r="AZ82" s="127"/>
      <c r="BA82" s="127"/>
      <c r="BB82" s="127">
        <v>0</v>
      </c>
      <c r="BC82" s="127"/>
      <c r="BD82" s="127"/>
      <c r="BE82" s="127"/>
      <c r="BF82" s="127"/>
      <c r="BG82" s="127">
        <v>0</v>
      </c>
      <c r="BH82" s="127"/>
      <c r="BI82" s="127"/>
      <c r="BJ82" s="127"/>
      <c r="BK82" s="127">
        <v>0</v>
      </c>
      <c r="BL82" s="127"/>
      <c r="BM82" s="127"/>
      <c r="BN82" s="127"/>
      <c r="BO82" s="127"/>
      <c r="BP82" s="127" t="s">
        <v>477</v>
      </c>
      <c r="BQ82" s="127" t="s">
        <v>478</v>
      </c>
      <c r="BR82" s="127" t="s">
        <v>479</v>
      </c>
      <c r="BS82" s="127" t="s">
        <v>480</v>
      </c>
      <c r="BT82" s="127" t="s">
        <v>188</v>
      </c>
      <c r="BU82" s="127" t="s">
        <v>189</v>
      </c>
      <c r="BV82" s="127" t="s">
        <v>229</v>
      </c>
      <c r="BW82" s="127" t="s">
        <v>191</v>
      </c>
      <c r="BX82" s="127" t="s">
        <v>189</v>
      </c>
      <c r="BY82" s="127" t="s">
        <v>189</v>
      </c>
      <c r="BZ82" s="127" t="s">
        <v>189</v>
      </c>
    </row>
    <row r="83" spans="2:78" s="121" customFormat="1" outlineLevel="2">
      <c r="B83" s="121" t="s">
        <v>471</v>
      </c>
      <c r="C83" s="107" t="s">
        <v>472</v>
      </c>
      <c r="F83" s="121" t="s">
        <v>481</v>
      </c>
      <c r="H83" s="122" t="s">
        <v>482</v>
      </c>
      <c r="I83" s="124" t="s">
        <v>475</v>
      </c>
      <c r="J83" s="124"/>
      <c r="K83" s="124" t="s">
        <v>483</v>
      </c>
      <c r="L83" s="124" t="s">
        <v>484</v>
      </c>
      <c r="M83" s="125" t="s">
        <v>183</v>
      </c>
      <c r="N83" s="126">
        <f t="shared" si="11"/>
        <v>14400</v>
      </c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>
        <v>1600</v>
      </c>
      <c r="AH83" s="127">
        <v>1600</v>
      </c>
      <c r="AI83" s="127">
        <v>1600</v>
      </c>
      <c r="AJ83" s="127"/>
      <c r="AK83" s="127"/>
      <c r="AL83" s="127"/>
      <c r="AM83" s="127"/>
      <c r="AN83" s="127"/>
      <c r="AO83" s="127"/>
      <c r="AP83" s="127"/>
      <c r="AQ83" s="127"/>
      <c r="AR83" s="127"/>
      <c r="AS83" s="127">
        <v>1600</v>
      </c>
      <c r="AT83" s="127">
        <v>1600</v>
      </c>
      <c r="AU83" s="127">
        <v>1600</v>
      </c>
      <c r="AV83" s="127">
        <v>1600</v>
      </c>
      <c r="AW83" s="127"/>
      <c r="AX83" s="127">
        <v>1600</v>
      </c>
      <c r="AY83" s="127"/>
      <c r="AZ83" s="127"/>
      <c r="BA83" s="127">
        <v>1600</v>
      </c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 t="s">
        <v>485</v>
      </c>
      <c r="BQ83" s="127" t="s">
        <v>486</v>
      </c>
      <c r="BR83" s="127" t="s">
        <v>189</v>
      </c>
      <c r="BS83" s="127" t="s">
        <v>189</v>
      </c>
      <c r="BT83" s="127" t="s">
        <v>303</v>
      </c>
      <c r="BU83" s="127" t="s">
        <v>189</v>
      </c>
      <c r="BV83" s="127" t="s">
        <v>205</v>
      </c>
      <c r="BW83" s="127" t="s">
        <v>191</v>
      </c>
      <c r="BX83" s="127" t="s">
        <v>305</v>
      </c>
      <c r="BY83" s="127" t="s">
        <v>487</v>
      </c>
      <c r="BZ83" s="131" t="s">
        <v>488</v>
      </c>
    </row>
    <row r="84" spans="2:78" s="121" customFormat="1" outlineLevel="2">
      <c r="B84" s="121" t="s">
        <v>471</v>
      </c>
      <c r="C84" s="107" t="s">
        <v>472</v>
      </c>
      <c r="F84" s="107" t="s">
        <v>89</v>
      </c>
      <c r="G84" s="107" t="s">
        <v>199</v>
      </c>
      <c r="H84" s="122" t="s">
        <v>489</v>
      </c>
      <c r="I84" s="124"/>
      <c r="J84" s="124"/>
      <c r="K84" s="124" t="s">
        <v>490</v>
      </c>
      <c r="L84" s="124" t="s">
        <v>491</v>
      </c>
      <c r="M84" s="125" t="s">
        <v>183</v>
      </c>
      <c r="N84" s="126">
        <f t="shared" si="11"/>
        <v>75</v>
      </c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30">
        <v>75</v>
      </c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27"/>
      <c r="BU84" s="127"/>
      <c r="BV84" s="127"/>
      <c r="BW84" s="127"/>
      <c r="BX84" s="127"/>
      <c r="BY84" s="127"/>
      <c r="BZ84" s="131"/>
    </row>
    <row r="85" spans="2:78" s="121" customFormat="1" outlineLevel="2">
      <c r="B85" s="121" t="s">
        <v>471</v>
      </c>
      <c r="C85" s="107" t="s">
        <v>472</v>
      </c>
      <c r="F85" s="107" t="s">
        <v>89</v>
      </c>
      <c r="H85" s="122" t="s">
        <v>492</v>
      </c>
      <c r="I85" s="123" t="s">
        <v>493</v>
      </c>
      <c r="J85" s="124"/>
      <c r="K85" s="124" t="s">
        <v>494</v>
      </c>
      <c r="L85" s="124" t="s">
        <v>491</v>
      </c>
      <c r="M85" s="125" t="s">
        <v>183</v>
      </c>
      <c r="N85" s="126">
        <f t="shared" si="11"/>
        <v>4000</v>
      </c>
      <c r="O85" s="127"/>
      <c r="P85" s="127"/>
      <c r="Q85" s="127"/>
      <c r="R85" s="127"/>
      <c r="S85" s="127"/>
      <c r="T85" s="127"/>
      <c r="U85" s="127"/>
      <c r="V85" s="127"/>
      <c r="W85" s="127"/>
      <c r="X85" s="127">
        <v>0</v>
      </c>
      <c r="Y85" s="127"/>
      <c r="Z85" s="127"/>
      <c r="AA85" s="127"/>
      <c r="AB85" s="127">
        <v>0</v>
      </c>
      <c r="AC85" s="127"/>
      <c r="AD85" s="127"/>
      <c r="AE85" s="127"/>
      <c r="AF85" s="127"/>
      <c r="AG85" s="127">
        <v>1000</v>
      </c>
      <c r="AH85" s="127">
        <v>1000</v>
      </c>
      <c r="AI85" s="127">
        <v>1000</v>
      </c>
      <c r="AJ85" s="127">
        <v>1000</v>
      </c>
      <c r="AK85" s="127">
        <v>0</v>
      </c>
      <c r="AL85" s="127"/>
      <c r="AM85" s="127"/>
      <c r="AN85" s="127"/>
      <c r="AO85" s="127">
        <v>0</v>
      </c>
      <c r="AP85" s="127"/>
      <c r="AQ85" s="127"/>
      <c r="AR85" s="127"/>
      <c r="AS85" s="127"/>
      <c r="AT85" s="127">
        <v>0</v>
      </c>
      <c r="AU85" s="127"/>
      <c r="AV85" s="127"/>
      <c r="AW85" s="127"/>
      <c r="AX85" s="127">
        <v>0</v>
      </c>
      <c r="AY85" s="127"/>
      <c r="AZ85" s="127"/>
      <c r="BA85" s="127"/>
      <c r="BB85" s="127">
        <v>0</v>
      </c>
      <c r="BC85" s="127"/>
      <c r="BD85" s="127"/>
      <c r="BE85" s="127"/>
      <c r="BF85" s="127"/>
      <c r="BG85" s="127">
        <v>0</v>
      </c>
      <c r="BH85" s="127"/>
      <c r="BI85" s="127"/>
      <c r="BJ85" s="127"/>
      <c r="BK85" s="127">
        <v>0</v>
      </c>
      <c r="BL85" s="127"/>
      <c r="BM85" s="127"/>
      <c r="BN85" s="127"/>
      <c r="BO85" s="127"/>
      <c r="BP85" s="127" t="s">
        <v>495</v>
      </c>
      <c r="BQ85" s="127" t="s">
        <v>496</v>
      </c>
      <c r="BR85" s="127" t="s">
        <v>497</v>
      </c>
      <c r="BS85" s="127" t="s">
        <v>498</v>
      </c>
      <c r="BT85" s="127" t="s">
        <v>239</v>
      </c>
      <c r="BU85" s="127" t="s">
        <v>499</v>
      </c>
      <c r="BV85" s="127" t="s">
        <v>190</v>
      </c>
      <c r="BW85" s="127" t="s">
        <v>191</v>
      </c>
      <c r="BX85" s="127" t="s">
        <v>500</v>
      </c>
      <c r="BY85" s="127" t="s">
        <v>501</v>
      </c>
      <c r="BZ85" s="128" t="s">
        <v>502</v>
      </c>
    </row>
    <row r="86" spans="2:78" s="121" customFormat="1" ht="13.5" customHeight="1" outlineLevel="2">
      <c r="B86" s="121" t="s">
        <v>471</v>
      </c>
      <c r="C86" s="107" t="s">
        <v>472</v>
      </c>
      <c r="E86" s="152" t="s">
        <v>503</v>
      </c>
      <c r="F86" s="107" t="s">
        <v>89</v>
      </c>
      <c r="G86" s="107" t="s">
        <v>199</v>
      </c>
      <c r="H86" s="122" t="s">
        <v>504</v>
      </c>
      <c r="I86" s="123" t="s">
        <v>505</v>
      </c>
      <c r="J86" s="124"/>
      <c r="K86" s="124" t="s">
        <v>506</v>
      </c>
      <c r="L86" s="124" t="s">
        <v>491</v>
      </c>
      <c r="M86" s="151" t="s">
        <v>249</v>
      </c>
      <c r="N86" s="126">
        <f t="shared" si="11"/>
        <v>5600</v>
      </c>
      <c r="O86" s="127"/>
      <c r="P86" s="127"/>
      <c r="Q86" s="127"/>
      <c r="R86" s="127"/>
      <c r="S86" s="127"/>
      <c r="T86" s="130">
        <v>800</v>
      </c>
      <c r="U86" s="130">
        <v>800</v>
      </c>
      <c r="V86" s="130">
        <v>800</v>
      </c>
      <c r="W86" s="130">
        <v>800</v>
      </c>
      <c r="X86" s="130">
        <v>800</v>
      </c>
      <c r="Y86" s="130">
        <v>800</v>
      </c>
      <c r="Z86" s="130">
        <v>800</v>
      </c>
      <c r="AA86" s="127"/>
      <c r="AB86" s="127">
        <v>0</v>
      </c>
      <c r="AC86" s="127"/>
      <c r="AD86" s="127"/>
      <c r="AE86" s="127"/>
      <c r="AF86" s="127"/>
      <c r="AG86" s="127">
        <v>0</v>
      </c>
      <c r="AH86" s="127"/>
      <c r="AI86" s="127"/>
      <c r="AJ86" s="127"/>
      <c r="AK86" s="127">
        <v>0</v>
      </c>
      <c r="AL86" s="127"/>
      <c r="AM86" s="127"/>
      <c r="AN86" s="127"/>
      <c r="AO86" s="127">
        <v>0</v>
      </c>
      <c r="AP86" s="127"/>
      <c r="AQ86" s="127"/>
      <c r="AR86" s="127"/>
      <c r="AS86" s="127"/>
      <c r="AT86" s="127">
        <v>0</v>
      </c>
      <c r="AU86" s="127"/>
      <c r="AV86" s="127"/>
      <c r="AW86" s="127"/>
      <c r="AX86" s="127">
        <v>0</v>
      </c>
      <c r="AY86" s="127"/>
      <c r="AZ86" s="127"/>
      <c r="BA86" s="127"/>
      <c r="BB86" s="127">
        <v>0</v>
      </c>
      <c r="BC86" s="127"/>
      <c r="BD86" s="127"/>
      <c r="BE86" s="127"/>
      <c r="BF86" s="127"/>
      <c r="BG86" s="127">
        <v>0</v>
      </c>
      <c r="BH86" s="127"/>
      <c r="BI86" s="127"/>
      <c r="BJ86" s="127"/>
      <c r="BK86" s="127">
        <v>0</v>
      </c>
      <c r="BL86" s="127"/>
      <c r="BM86" s="127"/>
      <c r="BN86" s="127"/>
      <c r="BO86" s="127"/>
      <c r="BP86" s="127" t="s">
        <v>507</v>
      </c>
      <c r="BQ86" s="127" t="s">
        <v>508</v>
      </c>
      <c r="BR86" s="127" t="s">
        <v>509</v>
      </c>
      <c r="BS86" s="127" t="s">
        <v>510</v>
      </c>
      <c r="BT86" s="127" t="s">
        <v>188</v>
      </c>
      <c r="BU86" s="127" t="s">
        <v>189</v>
      </c>
      <c r="BV86" s="127" t="s">
        <v>254</v>
      </c>
      <c r="BW86" s="127" t="s">
        <v>191</v>
      </c>
      <c r="BX86" s="127" t="s">
        <v>189</v>
      </c>
      <c r="BY86" s="127" t="s">
        <v>189</v>
      </c>
      <c r="BZ86" s="128" t="s">
        <v>511</v>
      </c>
    </row>
    <row r="87" spans="2:78" s="121" customFormat="1" ht="13.5" customHeight="1" outlineLevel="2">
      <c r="B87" s="121" t="s">
        <v>471</v>
      </c>
      <c r="C87" s="107" t="s">
        <v>472</v>
      </c>
      <c r="E87" s="152" t="s">
        <v>503</v>
      </c>
      <c r="F87" s="107" t="s">
        <v>89</v>
      </c>
      <c r="G87" s="107" t="s">
        <v>199</v>
      </c>
      <c r="H87" s="122" t="s">
        <v>504</v>
      </c>
      <c r="I87" s="123" t="s">
        <v>505</v>
      </c>
      <c r="J87" s="124"/>
      <c r="K87" s="124" t="s">
        <v>512</v>
      </c>
      <c r="L87" s="124" t="s">
        <v>491</v>
      </c>
      <c r="M87" s="151" t="s">
        <v>249</v>
      </c>
      <c r="N87" s="126">
        <f t="shared" si="11"/>
        <v>4400</v>
      </c>
      <c r="O87" s="127"/>
      <c r="P87" s="127"/>
      <c r="Q87" s="127"/>
      <c r="R87" s="127"/>
      <c r="S87" s="127"/>
      <c r="T87" s="130">
        <v>750</v>
      </c>
      <c r="U87" s="130">
        <v>750</v>
      </c>
      <c r="V87" s="130">
        <v>750</v>
      </c>
      <c r="W87" s="130">
        <v>750</v>
      </c>
      <c r="X87" s="130">
        <v>750</v>
      </c>
      <c r="Y87" s="130">
        <v>650</v>
      </c>
      <c r="Z87" s="127"/>
      <c r="AA87" s="127"/>
      <c r="AB87" s="127">
        <v>0</v>
      </c>
      <c r="AC87" s="127"/>
      <c r="AD87" s="127"/>
      <c r="AE87" s="127"/>
      <c r="AF87" s="127"/>
      <c r="AG87" s="127">
        <v>0</v>
      </c>
      <c r="AH87" s="127"/>
      <c r="AI87" s="127"/>
      <c r="AJ87" s="127"/>
      <c r="AK87" s="127">
        <v>0</v>
      </c>
      <c r="AL87" s="127"/>
      <c r="AM87" s="127"/>
      <c r="AN87" s="127"/>
      <c r="AO87" s="127">
        <v>0</v>
      </c>
      <c r="AP87" s="127"/>
      <c r="AQ87" s="127"/>
      <c r="AR87" s="127"/>
      <c r="AS87" s="127"/>
      <c r="AT87" s="127">
        <v>0</v>
      </c>
      <c r="AU87" s="127"/>
      <c r="AV87" s="127"/>
      <c r="AW87" s="127"/>
      <c r="AX87" s="127">
        <v>0</v>
      </c>
      <c r="AY87" s="127"/>
      <c r="AZ87" s="127"/>
      <c r="BA87" s="127"/>
      <c r="BB87" s="127">
        <v>0</v>
      </c>
      <c r="BC87" s="127"/>
      <c r="BD87" s="127"/>
      <c r="BE87" s="127"/>
      <c r="BF87" s="127"/>
      <c r="BG87" s="127">
        <v>0</v>
      </c>
      <c r="BH87" s="127"/>
      <c r="BI87" s="127"/>
      <c r="BJ87" s="127"/>
      <c r="BK87" s="127">
        <v>0</v>
      </c>
      <c r="BL87" s="127"/>
      <c r="BM87" s="127"/>
      <c r="BN87" s="127"/>
      <c r="BO87" s="127"/>
      <c r="BP87" s="127" t="s">
        <v>507</v>
      </c>
      <c r="BQ87" s="127" t="s">
        <v>508</v>
      </c>
      <c r="BR87" s="127" t="s">
        <v>509</v>
      </c>
      <c r="BS87" s="127" t="s">
        <v>510</v>
      </c>
      <c r="BT87" s="127" t="s">
        <v>188</v>
      </c>
      <c r="BU87" s="127" t="s">
        <v>189</v>
      </c>
      <c r="BV87" s="127" t="s">
        <v>254</v>
      </c>
      <c r="BW87" s="127" t="s">
        <v>191</v>
      </c>
      <c r="BX87" s="127" t="s">
        <v>189</v>
      </c>
      <c r="BY87" s="127" t="s">
        <v>189</v>
      </c>
      <c r="BZ87" s="128" t="s">
        <v>511</v>
      </c>
    </row>
    <row r="88" spans="2:78" s="121" customFormat="1" ht="13.5" customHeight="1" outlineLevel="2">
      <c r="B88" s="121" t="s">
        <v>471</v>
      </c>
      <c r="C88" s="107" t="s">
        <v>472</v>
      </c>
      <c r="F88" s="107" t="s">
        <v>89</v>
      </c>
      <c r="G88" s="107" t="s">
        <v>199</v>
      </c>
      <c r="H88" s="122" t="s">
        <v>513</v>
      </c>
      <c r="I88" s="123" t="s">
        <v>505</v>
      </c>
      <c r="J88" s="124"/>
      <c r="K88" s="124" t="s">
        <v>506</v>
      </c>
      <c r="L88" s="124" t="s">
        <v>491</v>
      </c>
      <c r="M88" s="151" t="s">
        <v>249</v>
      </c>
      <c r="N88" s="126">
        <f t="shared" si="11"/>
        <v>1200</v>
      </c>
      <c r="O88" s="127"/>
      <c r="P88" s="127"/>
      <c r="Q88" s="127"/>
      <c r="R88" s="127"/>
      <c r="S88" s="127"/>
      <c r="T88" s="127"/>
      <c r="U88" s="130">
        <v>1200</v>
      </c>
      <c r="V88" s="127"/>
      <c r="W88" s="127"/>
      <c r="X88" s="127">
        <v>0</v>
      </c>
      <c r="Y88" s="127"/>
      <c r="Z88" s="127"/>
      <c r="AA88" s="127"/>
      <c r="AB88" s="127">
        <v>0</v>
      </c>
      <c r="AC88" s="127"/>
      <c r="AD88" s="127"/>
      <c r="AE88" s="127"/>
      <c r="AF88" s="127"/>
      <c r="AG88" s="127">
        <v>0</v>
      </c>
      <c r="AH88" s="127"/>
      <c r="AI88" s="127"/>
      <c r="AJ88" s="127"/>
      <c r="AK88" s="127">
        <v>0</v>
      </c>
      <c r="AL88" s="127"/>
      <c r="AM88" s="127"/>
      <c r="AN88" s="127"/>
      <c r="AO88" s="127">
        <v>0</v>
      </c>
      <c r="AP88" s="127"/>
      <c r="AQ88" s="127"/>
      <c r="AR88" s="127"/>
      <c r="AS88" s="127"/>
      <c r="AT88" s="127">
        <v>0</v>
      </c>
      <c r="AU88" s="127"/>
      <c r="AV88" s="127"/>
      <c r="AW88" s="127"/>
      <c r="AX88" s="127">
        <v>0</v>
      </c>
      <c r="AY88" s="127"/>
      <c r="AZ88" s="127"/>
      <c r="BA88" s="127"/>
      <c r="BB88" s="127">
        <v>0</v>
      </c>
      <c r="BC88" s="127"/>
      <c r="BD88" s="127"/>
      <c r="BE88" s="127"/>
      <c r="BF88" s="127"/>
      <c r="BG88" s="127">
        <v>0</v>
      </c>
      <c r="BH88" s="127"/>
      <c r="BI88" s="127"/>
      <c r="BJ88" s="127"/>
      <c r="BK88" s="127">
        <v>0</v>
      </c>
      <c r="BL88" s="127"/>
      <c r="BM88" s="127"/>
      <c r="BN88" s="127"/>
      <c r="BO88" s="127"/>
      <c r="BP88" s="127" t="s">
        <v>507</v>
      </c>
      <c r="BQ88" s="127" t="s">
        <v>508</v>
      </c>
      <c r="BR88" s="127" t="s">
        <v>509</v>
      </c>
      <c r="BS88" s="127" t="s">
        <v>510</v>
      </c>
      <c r="BT88" s="127" t="s">
        <v>188</v>
      </c>
      <c r="BU88" s="127" t="s">
        <v>189</v>
      </c>
      <c r="BV88" s="127" t="s">
        <v>254</v>
      </c>
      <c r="BW88" s="127" t="s">
        <v>191</v>
      </c>
      <c r="BX88" s="127" t="s">
        <v>189</v>
      </c>
      <c r="BY88" s="127" t="s">
        <v>189</v>
      </c>
      <c r="BZ88" s="128" t="s">
        <v>511</v>
      </c>
    </row>
    <row r="89" spans="2:78" s="121" customFormat="1" outlineLevel="2">
      <c r="B89" s="121" t="s">
        <v>471</v>
      </c>
      <c r="C89" s="107" t="s">
        <v>472</v>
      </c>
      <c r="D89" s="121" t="s">
        <v>195</v>
      </c>
      <c r="F89" s="107" t="s">
        <v>231</v>
      </c>
      <c r="G89" s="107" t="s">
        <v>199</v>
      </c>
      <c r="H89" s="122" t="s">
        <v>514</v>
      </c>
      <c r="I89" s="123" t="s">
        <v>515</v>
      </c>
      <c r="J89" s="124"/>
      <c r="K89" s="124" t="s">
        <v>516</v>
      </c>
      <c r="L89" s="124" t="s">
        <v>491</v>
      </c>
      <c r="M89" s="125" t="s">
        <v>183</v>
      </c>
      <c r="N89" s="126">
        <f t="shared" si="11"/>
        <v>50600</v>
      </c>
      <c r="O89" s="127">
        <v>1150</v>
      </c>
      <c r="P89" s="127">
        <v>2300</v>
      </c>
      <c r="Q89" s="127">
        <v>3450</v>
      </c>
      <c r="R89" s="127">
        <v>3450</v>
      </c>
      <c r="S89" s="127">
        <v>3450</v>
      </c>
      <c r="T89" s="127">
        <v>3450</v>
      </c>
      <c r="U89" s="127">
        <v>3450</v>
      </c>
      <c r="V89" s="127">
        <v>3450</v>
      </c>
      <c r="W89" s="127">
        <v>3450</v>
      </c>
      <c r="X89" s="127">
        <v>3450</v>
      </c>
      <c r="Y89" s="127">
        <v>3450</v>
      </c>
      <c r="Z89" s="127">
        <v>3450</v>
      </c>
      <c r="AA89" s="127">
        <v>2300</v>
      </c>
      <c r="AB89" s="127">
        <v>3450</v>
      </c>
      <c r="AC89" s="127">
        <v>3450</v>
      </c>
      <c r="AD89" s="127">
        <v>3450</v>
      </c>
      <c r="AE89" s="127"/>
      <c r="AF89" s="127"/>
      <c r="AG89" s="127">
        <v>0</v>
      </c>
      <c r="AH89" s="127"/>
      <c r="AI89" s="127"/>
      <c r="AJ89" s="127"/>
      <c r="AK89" s="127">
        <v>0</v>
      </c>
      <c r="AL89" s="127"/>
      <c r="AM89" s="127"/>
      <c r="AN89" s="127"/>
      <c r="AO89" s="127">
        <v>0</v>
      </c>
      <c r="AP89" s="127"/>
      <c r="AQ89" s="127"/>
      <c r="AR89" s="127"/>
      <c r="AS89" s="127"/>
      <c r="AT89" s="127">
        <v>0</v>
      </c>
      <c r="AU89" s="127"/>
      <c r="AV89" s="127"/>
      <c r="AW89" s="127"/>
      <c r="AX89" s="127">
        <v>0</v>
      </c>
      <c r="AY89" s="127"/>
      <c r="AZ89" s="127"/>
      <c r="BA89" s="127"/>
      <c r="BB89" s="127">
        <v>0</v>
      </c>
      <c r="BC89" s="127"/>
      <c r="BD89" s="127"/>
      <c r="BE89" s="127"/>
      <c r="BF89" s="127"/>
      <c r="BG89" s="127">
        <v>0</v>
      </c>
      <c r="BH89" s="127"/>
      <c r="BI89" s="127"/>
      <c r="BJ89" s="127"/>
      <c r="BK89" s="127">
        <v>0</v>
      </c>
      <c r="BL89" s="127"/>
      <c r="BM89" s="127"/>
      <c r="BN89" s="127"/>
      <c r="BO89" s="127"/>
      <c r="BP89" s="127" t="s">
        <v>517</v>
      </c>
      <c r="BQ89" s="127" t="s">
        <v>518</v>
      </c>
      <c r="BR89" s="127" t="s">
        <v>519</v>
      </c>
      <c r="BS89" s="127" t="s">
        <v>520</v>
      </c>
      <c r="BT89" s="127" t="s">
        <v>188</v>
      </c>
      <c r="BU89" s="127" t="s">
        <v>521</v>
      </c>
      <c r="BV89" s="127" t="s">
        <v>190</v>
      </c>
      <c r="BW89" s="127" t="s">
        <v>191</v>
      </c>
      <c r="BX89" s="127" t="s">
        <v>522</v>
      </c>
      <c r="BY89" s="127" t="s">
        <v>523</v>
      </c>
      <c r="BZ89" s="128" t="s">
        <v>502</v>
      </c>
    </row>
    <row r="90" spans="2:78" s="121" customFormat="1" outlineLevel="2">
      <c r="B90" s="121" t="s">
        <v>471</v>
      </c>
      <c r="C90" s="107" t="s">
        <v>472</v>
      </c>
      <c r="D90" s="121" t="s">
        <v>195</v>
      </c>
      <c r="F90" s="107" t="s">
        <v>231</v>
      </c>
      <c r="G90" s="107" t="s">
        <v>199</v>
      </c>
      <c r="H90" s="122" t="s">
        <v>514</v>
      </c>
      <c r="I90" s="123" t="s">
        <v>515</v>
      </c>
      <c r="J90" s="124"/>
      <c r="K90" s="124" t="s">
        <v>524</v>
      </c>
      <c r="L90" s="124" t="s">
        <v>491</v>
      </c>
      <c r="M90" s="125" t="s">
        <v>183</v>
      </c>
      <c r="N90" s="126">
        <f t="shared" si="11"/>
        <v>52900</v>
      </c>
      <c r="O90" s="127">
        <v>1150</v>
      </c>
      <c r="P90" s="127">
        <v>3450</v>
      </c>
      <c r="Q90" s="127">
        <v>3450</v>
      </c>
      <c r="R90" s="127">
        <v>3450</v>
      </c>
      <c r="S90" s="127">
        <v>3450</v>
      </c>
      <c r="T90" s="127">
        <v>3450</v>
      </c>
      <c r="U90" s="127">
        <v>3450</v>
      </c>
      <c r="V90" s="127">
        <v>3450</v>
      </c>
      <c r="W90" s="127">
        <v>3450</v>
      </c>
      <c r="X90" s="127">
        <v>3450</v>
      </c>
      <c r="Y90" s="127">
        <v>3450</v>
      </c>
      <c r="Z90" s="127">
        <v>3450</v>
      </c>
      <c r="AA90" s="127">
        <v>3450</v>
      </c>
      <c r="AB90" s="127">
        <v>3450</v>
      </c>
      <c r="AC90" s="127">
        <v>3450</v>
      </c>
      <c r="AD90" s="127">
        <v>3450</v>
      </c>
      <c r="AE90" s="127"/>
      <c r="AF90" s="127"/>
      <c r="AG90" s="127">
        <v>0</v>
      </c>
      <c r="AH90" s="127"/>
      <c r="AI90" s="127"/>
      <c r="AJ90" s="127"/>
      <c r="AK90" s="127">
        <v>0</v>
      </c>
      <c r="AL90" s="127"/>
      <c r="AM90" s="127"/>
      <c r="AN90" s="127"/>
      <c r="AO90" s="127">
        <v>0</v>
      </c>
      <c r="AP90" s="127"/>
      <c r="AQ90" s="127"/>
      <c r="AR90" s="127"/>
      <c r="AS90" s="127"/>
      <c r="AT90" s="127">
        <v>0</v>
      </c>
      <c r="AU90" s="127"/>
      <c r="AV90" s="127"/>
      <c r="AW90" s="127"/>
      <c r="AX90" s="127">
        <v>0</v>
      </c>
      <c r="AY90" s="127"/>
      <c r="AZ90" s="127"/>
      <c r="BA90" s="127"/>
      <c r="BB90" s="127">
        <v>0</v>
      </c>
      <c r="BC90" s="127"/>
      <c r="BD90" s="127"/>
      <c r="BE90" s="127"/>
      <c r="BF90" s="127"/>
      <c r="BG90" s="127">
        <v>0</v>
      </c>
      <c r="BH90" s="127"/>
      <c r="BI90" s="127"/>
      <c r="BJ90" s="127"/>
      <c r="BK90" s="127">
        <v>0</v>
      </c>
      <c r="BL90" s="127"/>
      <c r="BM90" s="127"/>
      <c r="BN90" s="127"/>
      <c r="BO90" s="127"/>
      <c r="BP90" s="127" t="s">
        <v>517</v>
      </c>
      <c r="BQ90" s="127" t="s">
        <v>518</v>
      </c>
      <c r="BR90" s="127" t="s">
        <v>519</v>
      </c>
      <c r="BS90" s="127" t="s">
        <v>520</v>
      </c>
      <c r="BT90" s="127" t="s">
        <v>188</v>
      </c>
      <c r="BU90" s="127" t="s">
        <v>521</v>
      </c>
      <c r="BV90" s="127" t="s">
        <v>190</v>
      </c>
      <c r="BW90" s="127" t="s">
        <v>191</v>
      </c>
      <c r="BX90" s="127" t="s">
        <v>522</v>
      </c>
      <c r="BY90" s="127" t="s">
        <v>523</v>
      </c>
      <c r="BZ90" s="128" t="s">
        <v>502</v>
      </c>
    </row>
    <row r="91" spans="2:78" s="121" customFormat="1" outlineLevel="2">
      <c r="B91" s="129" t="s">
        <v>471</v>
      </c>
      <c r="C91" s="107" t="s">
        <v>472</v>
      </c>
      <c r="D91" s="107" t="s">
        <v>525</v>
      </c>
      <c r="F91" s="107" t="s">
        <v>231</v>
      </c>
      <c r="H91" s="122" t="s">
        <v>526</v>
      </c>
      <c r="I91" s="123" t="s">
        <v>527</v>
      </c>
      <c r="J91" s="124"/>
      <c r="K91" s="124" t="s">
        <v>528</v>
      </c>
      <c r="L91" s="124" t="s">
        <v>529</v>
      </c>
      <c r="M91" s="125" t="s">
        <v>183</v>
      </c>
      <c r="N91" s="126">
        <f t="shared" si="11"/>
        <v>16000</v>
      </c>
      <c r="O91" s="127">
        <v>0</v>
      </c>
      <c r="P91" s="127"/>
      <c r="Q91" s="127"/>
      <c r="R91" s="127"/>
      <c r="S91" s="127"/>
      <c r="T91" s="127">
        <v>0</v>
      </c>
      <c r="U91" s="127"/>
      <c r="V91" s="127"/>
      <c r="W91" s="127"/>
      <c r="X91" s="127">
        <v>0</v>
      </c>
      <c r="Y91" s="127"/>
      <c r="Z91" s="127"/>
      <c r="AA91" s="127"/>
      <c r="AB91" s="127">
        <v>0</v>
      </c>
      <c r="AC91" s="127"/>
      <c r="AD91" s="127"/>
      <c r="AE91" s="127"/>
      <c r="AF91" s="127"/>
      <c r="AG91" s="127">
        <v>0</v>
      </c>
      <c r="AH91" s="127"/>
      <c r="AI91" s="127"/>
      <c r="AJ91" s="127"/>
      <c r="AK91" s="127"/>
      <c r="AL91" s="127"/>
      <c r="AM91" s="127"/>
      <c r="AN91" s="127"/>
      <c r="AO91" s="127">
        <v>0</v>
      </c>
      <c r="AP91" s="127"/>
      <c r="AQ91" s="127"/>
      <c r="AR91" s="127"/>
      <c r="AS91" s="127"/>
      <c r="AT91" s="127">
        <v>0</v>
      </c>
      <c r="AU91" s="127"/>
      <c r="AV91" s="127"/>
      <c r="AW91" s="127"/>
      <c r="AX91" s="127"/>
      <c r="AY91" s="127"/>
      <c r="AZ91" s="127">
        <v>1400</v>
      </c>
      <c r="BA91" s="127">
        <v>1400</v>
      </c>
      <c r="BB91" s="127">
        <v>1200</v>
      </c>
      <c r="BC91" s="127">
        <v>1200</v>
      </c>
      <c r="BD91" s="127">
        <v>1200</v>
      </c>
      <c r="BE91" s="127">
        <v>1200</v>
      </c>
      <c r="BF91" s="127">
        <v>1200</v>
      </c>
      <c r="BG91" s="127">
        <v>1200</v>
      </c>
      <c r="BH91" s="127">
        <v>1200</v>
      </c>
      <c r="BI91" s="127">
        <v>1200</v>
      </c>
      <c r="BJ91" s="127">
        <v>1200</v>
      </c>
      <c r="BK91" s="127">
        <v>1200</v>
      </c>
      <c r="BL91" s="127">
        <v>1200</v>
      </c>
      <c r="BM91" s="127"/>
      <c r="BN91" s="127"/>
      <c r="BO91" s="127"/>
      <c r="BP91" s="127" t="s">
        <v>530</v>
      </c>
      <c r="BQ91" s="127" t="s">
        <v>531</v>
      </c>
      <c r="BR91" s="127" t="s">
        <v>532</v>
      </c>
      <c r="BS91" s="127" t="s">
        <v>533</v>
      </c>
      <c r="BT91" s="127" t="s">
        <v>188</v>
      </c>
      <c r="BU91" s="127" t="s">
        <v>189</v>
      </c>
      <c r="BV91" s="127" t="s">
        <v>190</v>
      </c>
      <c r="BW91" s="127" t="s">
        <v>191</v>
      </c>
      <c r="BX91" s="127" t="s">
        <v>534</v>
      </c>
      <c r="BY91" s="127" t="s">
        <v>535</v>
      </c>
      <c r="BZ91" s="128" t="s">
        <v>502</v>
      </c>
    </row>
    <row r="92" spans="2:78" s="121" customFormat="1" outlineLevel="2">
      <c r="B92" s="121" t="s">
        <v>471</v>
      </c>
      <c r="C92" s="107" t="s">
        <v>472</v>
      </c>
      <c r="F92" s="107" t="s">
        <v>89</v>
      </c>
      <c r="G92" s="107" t="s">
        <v>199</v>
      </c>
      <c r="H92" s="122" t="s">
        <v>536</v>
      </c>
      <c r="I92" s="124"/>
      <c r="J92" s="124"/>
      <c r="K92" s="124" t="s">
        <v>537</v>
      </c>
      <c r="L92" s="124" t="s">
        <v>529</v>
      </c>
      <c r="M92" s="125" t="s">
        <v>183</v>
      </c>
      <c r="N92" s="126">
        <f t="shared" si="11"/>
        <v>2500</v>
      </c>
      <c r="O92" s="130">
        <v>1500</v>
      </c>
      <c r="P92" s="130">
        <v>1000</v>
      </c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  <c r="BR92" s="127"/>
      <c r="BS92" s="127"/>
      <c r="BT92" s="127"/>
      <c r="BU92" s="127"/>
      <c r="BV92" s="127"/>
      <c r="BW92" s="127"/>
      <c r="BX92" s="127"/>
      <c r="BY92" s="127"/>
      <c r="BZ92" s="128"/>
    </row>
    <row r="93" spans="2:78" s="121" customFormat="1" outlineLevel="2">
      <c r="B93" s="121" t="s">
        <v>471</v>
      </c>
      <c r="C93" s="107" t="s">
        <v>472</v>
      </c>
      <c r="D93" s="107"/>
      <c r="F93" s="107" t="s">
        <v>89</v>
      </c>
      <c r="G93" s="107" t="s">
        <v>199</v>
      </c>
      <c r="H93" s="122" t="s">
        <v>538</v>
      </c>
      <c r="I93" s="124"/>
      <c r="J93" s="124"/>
      <c r="K93" s="124" t="s">
        <v>539</v>
      </c>
      <c r="L93" s="124" t="s">
        <v>491</v>
      </c>
      <c r="M93" s="125" t="s">
        <v>183</v>
      </c>
      <c r="N93" s="126">
        <f t="shared" si="11"/>
        <v>900</v>
      </c>
      <c r="O93" s="127"/>
      <c r="P93" s="127"/>
      <c r="Q93" s="127"/>
      <c r="R93" s="127"/>
      <c r="S93" s="127"/>
      <c r="T93" s="127"/>
      <c r="U93" s="127"/>
      <c r="V93" s="130">
        <v>900</v>
      </c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  <c r="BU93" s="127"/>
      <c r="BV93" s="127"/>
      <c r="BW93" s="127"/>
      <c r="BX93" s="127"/>
      <c r="BY93" s="127"/>
      <c r="BZ93" s="131"/>
    </row>
    <row r="94" spans="2:78" s="121" customFormat="1" outlineLevel="2">
      <c r="B94" s="121" t="s">
        <v>471</v>
      </c>
      <c r="C94" s="107" t="s">
        <v>472</v>
      </c>
      <c r="D94" s="107"/>
      <c r="F94" s="107" t="s">
        <v>89</v>
      </c>
      <c r="G94" s="107" t="s">
        <v>199</v>
      </c>
      <c r="H94" s="122" t="s">
        <v>540</v>
      </c>
      <c r="I94" s="124"/>
      <c r="J94" s="124"/>
      <c r="K94" s="124" t="s">
        <v>541</v>
      </c>
      <c r="L94" s="124" t="s">
        <v>491</v>
      </c>
      <c r="M94" s="125" t="s">
        <v>183</v>
      </c>
      <c r="N94" s="126">
        <f t="shared" si="11"/>
        <v>800</v>
      </c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30">
        <v>800</v>
      </c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  <c r="BR94" s="127"/>
      <c r="BS94" s="127"/>
      <c r="BT94" s="127"/>
      <c r="BU94" s="127"/>
      <c r="BV94" s="127"/>
      <c r="BW94" s="127"/>
      <c r="BX94" s="127"/>
      <c r="BY94" s="127"/>
      <c r="BZ94" s="131"/>
    </row>
    <row r="95" spans="2:78" s="121" customFormat="1" ht="13.5" customHeight="1" outlineLevel="2">
      <c r="B95" s="129" t="s">
        <v>471</v>
      </c>
      <c r="C95" s="107" t="s">
        <v>472</v>
      </c>
      <c r="D95" s="107"/>
      <c r="F95" s="107" t="s">
        <v>481</v>
      </c>
      <c r="H95" s="147" t="s">
        <v>542</v>
      </c>
      <c r="I95" s="124"/>
      <c r="J95" s="124"/>
      <c r="K95" s="124"/>
      <c r="L95" s="124"/>
      <c r="M95" s="125" t="s">
        <v>183</v>
      </c>
      <c r="N95" s="126">
        <v>15000</v>
      </c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</row>
    <row r="96" spans="2:78" s="121" customFormat="1" outlineLevel="2">
      <c r="B96" s="129" t="s">
        <v>471</v>
      </c>
      <c r="C96" s="107" t="s">
        <v>472</v>
      </c>
      <c r="D96" s="107"/>
      <c r="F96" s="107" t="s">
        <v>481</v>
      </c>
      <c r="H96" s="147" t="s">
        <v>543</v>
      </c>
      <c r="I96" s="124"/>
      <c r="J96" s="124"/>
      <c r="K96" s="124"/>
      <c r="L96" s="124"/>
      <c r="M96" s="125" t="s">
        <v>183</v>
      </c>
      <c r="N96" s="126">
        <v>15000</v>
      </c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  <c r="BW96" s="127"/>
      <c r="BX96" s="127"/>
      <c r="BY96" s="127"/>
      <c r="BZ96" s="127"/>
    </row>
    <row r="97" spans="2:78" s="121" customFormat="1" outlineLevel="2">
      <c r="B97" s="129" t="s">
        <v>471</v>
      </c>
      <c r="C97" s="107" t="s">
        <v>472</v>
      </c>
      <c r="D97" s="107"/>
      <c r="F97" s="107" t="s">
        <v>89</v>
      </c>
      <c r="H97" s="147" t="s">
        <v>544</v>
      </c>
      <c r="I97" s="124"/>
      <c r="J97" s="124"/>
      <c r="K97" s="124"/>
      <c r="L97" s="124"/>
      <c r="M97" s="125" t="s">
        <v>183</v>
      </c>
      <c r="N97" s="126">
        <v>5000</v>
      </c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</row>
    <row r="98" spans="2:78" s="121" customFormat="1" outlineLevel="2">
      <c r="B98" s="129" t="s">
        <v>471</v>
      </c>
      <c r="C98" s="107" t="s">
        <v>472</v>
      </c>
      <c r="D98" s="107"/>
      <c r="F98" s="107" t="s">
        <v>89</v>
      </c>
      <c r="H98" s="147" t="s">
        <v>545</v>
      </c>
      <c r="I98" s="124"/>
      <c r="J98" s="124"/>
      <c r="K98" s="124"/>
      <c r="L98" s="124"/>
      <c r="M98" s="125" t="s">
        <v>183</v>
      </c>
      <c r="N98" s="126">
        <v>35000</v>
      </c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  <c r="BV98" s="127"/>
      <c r="BW98" s="127"/>
      <c r="BX98" s="127"/>
      <c r="BY98" s="127"/>
      <c r="BZ98" s="127"/>
    </row>
    <row r="99" spans="2:78" s="139" customFormat="1" outlineLevel="1">
      <c r="C99" s="140" t="s">
        <v>546</v>
      </c>
      <c r="H99" s="141"/>
      <c r="I99" s="141"/>
      <c r="J99" s="141"/>
      <c r="K99" s="141"/>
      <c r="L99" s="141"/>
      <c r="M99" s="142"/>
      <c r="N99" s="143">
        <f>SUBTOTAL(9,N82:N98)</f>
        <v>223375</v>
      </c>
      <c r="O99" s="144">
        <f>SUBTOTAL(9,O82:O98)</f>
        <v>3800</v>
      </c>
      <c r="P99" s="144">
        <f t="shared" ref="P99:BO99" si="12">SUBTOTAL(9,P82:P98)</f>
        <v>6750</v>
      </c>
      <c r="Q99" s="144">
        <f t="shared" si="12"/>
        <v>6900</v>
      </c>
      <c r="R99" s="144">
        <f t="shared" si="12"/>
        <v>6900</v>
      </c>
      <c r="S99" s="144">
        <f t="shared" si="12"/>
        <v>6900</v>
      </c>
      <c r="T99" s="144">
        <f t="shared" si="12"/>
        <v>8450</v>
      </c>
      <c r="U99" s="144">
        <f t="shared" si="12"/>
        <v>9650</v>
      </c>
      <c r="V99" s="144">
        <f t="shared" si="12"/>
        <v>9350</v>
      </c>
      <c r="W99" s="144">
        <f t="shared" si="12"/>
        <v>8450</v>
      </c>
      <c r="X99" s="144">
        <f t="shared" si="12"/>
        <v>8450</v>
      </c>
      <c r="Y99" s="144">
        <f t="shared" si="12"/>
        <v>9225</v>
      </c>
      <c r="Z99" s="144">
        <f t="shared" si="12"/>
        <v>7700</v>
      </c>
      <c r="AA99" s="144">
        <f t="shared" si="12"/>
        <v>5750</v>
      </c>
      <c r="AB99" s="144">
        <f t="shared" si="12"/>
        <v>6900</v>
      </c>
      <c r="AC99" s="144">
        <f t="shared" si="12"/>
        <v>6900</v>
      </c>
      <c r="AD99" s="144">
        <f t="shared" si="12"/>
        <v>6900</v>
      </c>
      <c r="AE99" s="144">
        <f t="shared" si="12"/>
        <v>0</v>
      </c>
      <c r="AF99" s="144">
        <f t="shared" si="12"/>
        <v>0</v>
      </c>
      <c r="AG99" s="144">
        <f t="shared" si="12"/>
        <v>2600</v>
      </c>
      <c r="AH99" s="144">
        <f t="shared" si="12"/>
        <v>2600</v>
      </c>
      <c r="AI99" s="144">
        <f t="shared" si="12"/>
        <v>2600</v>
      </c>
      <c r="AJ99" s="144">
        <f t="shared" si="12"/>
        <v>1000</v>
      </c>
      <c r="AK99" s="144">
        <f t="shared" si="12"/>
        <v>0</v>
      </c>
      <c r="AL99" s="144">
        <f t="shared" si="12"/>
        <v>0</v>
      </c>
      <c r="AM99" s="144">
        <f t="shared" si="12"/>
        <v>0</v>
      </c>
      <c r="AN99" s="144">
        <f t="shared" si="12"/>
        <v>0</v>
      </c>
      <c r="AO99" s="144">
        <f t="shared" si="12"/>
        <v>0</v>
      </c>
      <c r="AP99" s="144">
        <f t="shared" si="12"/>
        <v>0</v>
      </c>
      <c r="AQ99" s="144">
        <f t="shared" si="12"/>
        <v>0</v>
      </c>
      <c r="AR99" s="144">
        <f t="shared" si="12"/>
        <v>0</v>
      </c>
      <c r="AS99" s="144">
        <f t="shared" si="12"/>
        <v>1600</v>
      </c>
      <c r="AT99" s="144">
        <f t="shared" si="12"/>
        <v>1600</v>
      </c>
      <c r="AU99" s="144">
        <f t="shared" si="12"/>
        <v>1600</v>
      </c>
      <c r="AV99" s="144">
        <f t="shared" si="12"/>
        <v>1600</v>
      </c>
      <c r="AW99" s="144">
        <f t="shared" si="12"/>
        <v>0</v>
      </c>
      <c r="AX99" s="144">
        <f t="shared" si="12"/>
        <v>1600</v>
      </c>
      <c r="AY99" s="144">
        <f t="shared" si="12"/>
        <v>0</v>
      </c>
      <c r="AZ99" s="144">
        <f t="shared" si="12"/>
        <v>1400</v>
      </c>
      <c r="BA99" s="144">
        <f t="shared" si="12"/>
        <v>3000</v>
      </c>
      <c r="BB99" s="144">
        <f t="shared" si="12"/>
        <v>1200</v>
      </c>
      <c r="BC99" s="144">
        <f t="shared" si="12"/>
        <v>1200</v>
      </c>
      <c r="BD99" s="144">
        <f t="shared" si="12"/>
        <v>1200</v>
      </c>
      <c r="BE99" s="144">
        <f t="shared" si="12"/>
        <v>1200</v>
      </c>
      <c r="BF99" s="144">
        <f t="shared" si="12"/>
        <v>1200</v>
      </c>
      <c r="BG99" s="144">
        <f t="shared" si="12"/>
        <v>1200</v>
      </c>
      <c r="BH99" s="144">
        <f t="shared" si="12"/>
        <v>1200</v>
      </c>
      <c r="BI99" s="144">
        <f t="shared" si="12"/>
        <v>1200</v>
      </c>
      <c r="BJ99" s="144">
        <f t="shared" si="12"/>
        <v>1200</v>
      </c>
      <c r="BK99" s="144">
        <f t="shared" si="12"/>
        <v>1200</v>
      </c>
      <c r="BL99" s="144">
        <f t="shared" si="12"/>
        <v>1200</v>
      </c>
      <c r="BM99" s="144">
        <f t="shared" si="12"/>
        <v>0</v>
      </c>
      <c r="BN99" s="144">
        <f t="shared" si="12"/>
        <v>0</v>
      </c>
      <c r="BO99" s="144">
        <f t="shared" si="12"/>
        <v>0</v>
      </c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>
        <f>SUBTOTAL(9,BZ85:BZ85)</f>
        <v>0</v>
      </c>
    </row>
    <row r="100" spans="2:78" s="121" customFormat="1" ht="13.5" customHeight="1" outlineLevel="2">
      <c r="B100" s="121" t="s">
        <v>471</v>
      </c>
      <c r="C100" s="107" t="s">
        <v>547</v>
      </c>
      <c r="D100" s="107" t="s">
        <v>195</v>
      </c>
      <c r="E100" s="152" t="s">
        <v>503</v>
      </c>
      <c r="F100" s="107" t="s">
        <v>178</v>
      </c>
      <c r="G100" s="107" t="s">
        <v>199</v>
      </c>
      <c r="H100" s="122" t="s">
        <v>504</v>
      </c>
      <c r="I100" s="123" t="s">
        <v>505</v>
      </c>
      <c r="J100" s="124"/>
      <c r="K100" s="124" t="s">
        <v>189</v>
      </c>
      <c r="L100" s="124" t="s">
        <v>491</v>
      </c>
      <c r="M100" s="125" t="s">
        <v>183</v>
      </c>
      <c r="N100" s="126">
        <f t="shared" ref="N100:N120" si="13">SUM(O100:BO100)</f>
        <v>1800</v>
      </c>
      <c r="O100" s="130">
        <v>900</v>
      </c>
      <c r="P100" s="130">
        <v>900</v>
      </c>
      <c r="Q100" s="127"/>
      <c r="R100" s="127"/>
      <c r="S100" s="127"/>
      <c r="T100" s="127"/>
      <c r="U100" s="127"/>
      <c r="V100" s="127"/>
      <c r="W100" s="127"/>
      <c r="X100" s="127">
        <v>0</v>
      </c>
      <c r="Y100" s="127"/>
      <c r="Z100" s="127"/>
      <c r="AA100" s="127"/>
      <c r="AB100" s="127">
        <v>0</v>
      </c>
      <c r="AC100" s="127"/>
      <c r="AD100" s="127"/>
      <c r="AE100" s="127"/>
      <c r="AF100" s="127"/>
      <c r="AG100" s="127">
        <v>0</v>
      </c>
      <c r="AH100" s="127"/>
      <c r="AI100" s="127"/>
      <c r="AJ100" s="127"/>
      <c r="AK100" s="127">
        <v>0</v>
      </c>
      <c r="AL100" s="127"/>
      <c r="AM100" s="127"/>
      <c r="AN100" s="127"/>
      <c r="AO100" s="127">
        <v>0</v>
      </c>
      <c r="AP100" s="127"/>
      <c r="AQ100" s="127"/>
      <c r="AR100" s="127"/>
      <c r="AS100" s="127"/>
      <c r="AT100" s="127">
        <v>0</v>
      </c>
      <c r="AU100" s="127"/>
      <c r="AV100" s="127"/>
      <c r="AW100" s="127"/>
      <c r="AX100" s="127">
        <v>0</v>
      </c>
      <c r="AY100" s="127"/>
      <c r="AZ100" s="127"/>
      <c r="BA100" s="127"/>
      <c r="BB100" s="127">
        <v>0</v>
      </c>
      <c r="BC100" s="127"/>
      <c r="BD100" s="127"/>
      <c r="BE100" s="127"/>
      <c r="BF100" s="127"/>
      <c r="BG100" s="127">
        <v>0</v>
      </c>
      <c r="BH100" s="127"/>
      <c r="BI100" s="127"/>
      <c r="BJ100" s="127"/>
      <c r="BK100" s="127">
        <v>0</v>
      </c>
      <c r="BL100" s="127"/>
      <c r="BM100" s="127"/>
      <c r="BN100" s="127"/>
      <c r="BO100" s="127"/>
      <c r="BP100" s="127" t="s">
        <v>507</v>
      </c>
      <c r="BQ100" s="127" t="s">
        <v>508</v>
      </c>
      <c r="BR100" s="127" t="s">
        <v>509</v>
      </c>
      <c r="BS100" s="127" t="s">
        <v>510</v>
      </c>
      <c r="BT100" s="127" t="s">
        <v>188</v>
      </c>
      <c r="BU100" s="127" t="s">
        <v>189</v>
      </c>
      <c r="BV100" s="127" t="s">
        <v>254</v>
      </c>
      <c r="BW100" s="127" t="s">
        <v>191</v>
      </c>
      <c r="BX100" s="127" t="s">
        <v>189</v>
      </c>
      <c r="BY100" s="127" t="s">
        <v>189</v>
      </c>
      <c r="BZ100" s="128" t="s">
        <v>511</v>
      </c>
    </row>
    <row r="101" spans="2:78" s="121" customFormat="1" outlineLevel="2">
      <c r="B101" s="121" t="s">
        <v>471</v>
      </c>
      <c r="C101" s="107" t="s">
        <v>547</v>
      </c>
      <c r="D101" s="107" t="s">
        <v>195</v>
      </c>
      <c r="F101" s="107" t="s">
        <v>178</v>
      </c>
      <c r="G101" s="107" t="s">
        <v>548</v>
      </c>
      <c r="H101" s="122" t="s">
        <v>549</v>
      </c>
      <c r="I101" s="124"/>
      <c r="J101" s="124"/>
      <c r="K101" s="124" t="s">
        <v>189</v>
      </c>
      <c r="L101" s="124" t="s">
        <v>529</v>
      </c>
      <c r="M101" s="125" t="s">
        <v>183</v>
      </c>
      <c r="N101" s="126">
        <f t="shared" si="13"/>
        <v>0</v>
      </c>
      <c r="O101" s="127">
        <v>0</v>
      </c>
      <c r="P101" s="127"/>
      <c r="Q101" s="127"/>
      <c r="R101" s="127"/>
      <c r="S101" s="127"/>
      <c r="T101" s="127">
        <v>0</v>
      </c>
      <c r="U101" s="127"/>
      <c r="V101" s="127"/>
      <c r="W101" s="127"/>
      <c r="X101" s="127">
        <v>0</v>
      </c>
      <c r="Y101" s="127"/>
      <c r="Z101" s="127"/>
      <c r="AA101" s="127"/>
      <c r="AB101" s="127">
        <v>0</v>
      </c>
      <c r="AC101" s="127"/>
      <c r="AD101" s="127"/>
      <c r="AE101" s="127"/>
      <c r="AF101" s="127"/>
      <c r="AG101" s="127">
        <v>0</v>
      </c>
      <c r="AH101" s="127"/>
      <c r="AI101" s="127"/>
      <c r="AJ101" s="127"/>
      <c r="AK101" s="127">
        <v>0</v>
      </c>
      <c r="AL101" s="127"/>
      <c r="AM101" s="127"/>
      <c r="AN101" s="127"/>
      <c r="AO101" s="127">
        <v>0</v>
      </c>
      <c r="AP101" s="127"/>
      <c r="AQ101" s="127"/>
      <c r="AR101" s="127"/>
      <c r="AS101" s="127"/>
      <c r="AT101" s="127">
        <v>0</v>
      </c>
      <c r="AU101" s="127"/>
      <c r="AV101" s="127"/>
      <c r="AW101" s="127"/>
      <c r="AX101" s="127">
        <v>0</v>
      </c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>
        <v>0</v>
      </c>
      <c r="BL101" s="127"/>
      <c r="BM101" s="127"/>
      <c r="BN101" s="127"/>
      <c r="BO101" s="127"/>
      <c r="BP101" s="127" t="s">
        <v>550</v>
      </c>
      <c r="BQ101" s="127" t="s">
        <v>551</v>
      </c>
      <c r="BR101" s="127" t="s">
        <v>552</v>
      </c>
      <c r="BS101" s="127" t="s">
        <v>553</v>
      </c>
      <c r="BT101" s="127" t="s">
        <v>303</v>
      </c>
      <c r="BU101" s="127" t="s">
        <v>189</v>
      </c>
      <c r="BV101" s="127" t="s">
        <v>205</v>
      </c>
      <c r="BW101" s="127" t="s">
        <v>191</v>
      </c>
      <c r="BX101" s="127" t="s">
        <v>554</v>
      </c>
      <c r="BY101" s="127" t="s">
        <v>555</v>
      </c>
      <c r="BZ101" s="131" t="s">
        <v>556</v>
      </c>
    </row>
    <row r="102" spans="2:78" s="121" customFormat="1" outlineLevel="2">
      <c r="B102" s="129" t="s">
        <v>471</v>
      </c>
      <c r="C102" s="107" t="s">
        <v>547</v>
      </c>
      <c r="D102" s="107" t="s">
        <v>195</v>
      </c>
      <c r="F102" s="107" t="s">
        <v>178</v>
      </c>
      <c r="G102" s="107" t="s">
        <v>388</v>
      </c>
      <c r="H102" s="122" t="s">
        <v>557</v>
      </c>
      <c r="I102" s="124"/>
      <c r="J102" s="124"/>
      <c r="K102" s="124" t="s">
        <v>558</v>
      </c>
      <c r="L102" s="124" t="s">
        <v>529</v>
      </c>
      <c r="M102" s="125" t="s">
        <v>183</v>
      </c>
      <c r="N102" s="126">
        <f t="shared" si="13"/>
        <v>0</v>
      </c>
      <c r="O102" s="127">
        <v>0</v>
      </c>
      <c r="P102" s="127"/>
      <c r="Q102" s="127"/>
      <c r="R102" s="127"/>
      <c r="S102" s="127"/>
      <c r="T102" s="127">
        <v>0</v>
      </c>
      <c r="U102" s="127"/>
      <c r="V102" s="127"/>
      <c r="W102" s="127"/>
      <c r="X102" s="127">
        <v>0</v>
      </c>
      <c r="Y102" s="127"/>
      <c r="Z102" s="127"/>
      <c r="AA102" s="127"/>
      <c r="AB102" s="127">
        <v>0</v>
      </c>
      <c r="AC102" s="127"/>
      <c r="AD102" s="127"/>
      <c r="AE102" s="127"/>
      <c r="AF102" s="127"/>
      <c r="AG102" s="127">
        <v>0</v>
      </c>
      <c r="AH102" s="127"/>
      <c r="AI102" s="127"/>
      <c r="AJ102" s="127"/>
      <c r="AK102" s="127">
        <v>0</v>
      </c>
      <c r="AL102" s="127"/>
      <c r="AM102" s="127"/>
      <c r="AN102" s="127"/>
      <c r="AO102" s="127">
        <v>0</v>
      </c>
      <c r="AP102" s="127"/>
      <c r="AQ102" s="127"/>
      <c r="AR102" s="127"/>
      <c r="AS102" s="127"/>
      <c r="AT102" s="127">
        <v>0</v>
      </c>
      <c r="AU102" s="127"/>
      <c r="AV102" s="127"/>
      <c r="AW102" s="127"/>
      <c r="AX102" s="127">
        <v>0</v>
      </c>
      <c r="AY102" s="127"/>
      <c r="AZ102" s="127"/>
      <c r="BA102" s="127"/>
      <c r="BB102" s="127">
        <v>0</v>
      </c>
      <c r="BC102" s="127"/>
      <c r="BD102" s="127"/>
      <c r="BE102" s="127"/>
      <c r="BF102" s="127"/>
      <c r="BG102" s="127">
        <v>0</v>
      </c>
      <c r="BH102" s="127"/>
      <c r="BI102" s="127"/>
      <c r="BJ102" s="127"/>
      <c r="BK102" s="127">
        <v>0</v>
      </c>
      <c r="BL102" s="127"/>
      <c r="BM102" s="127"/>
      <c r="BN102" s="127"/>
      <c r="BO102" s="127"/>
      <c r="BP102" s="127" t="s">
        <v>559</v>
      </c>
      <c r="BQ102" s="127" t="s">
        <v>560</v>
      </c>
      <c r="BR102" s="127" t="s">
        <v>561</v>
      </c>
      <c r="BS102" s="127" t="s">
        <v>562</v>
      </c>
      <c r="BT102" s="127" t="s">
        <v>188</v>
      </c>
      <c r="BU102" s="127" t="s">
        <v>189</v>
      </c>
      <c r="BV102" s="127" t="s">
        <v>229</v>
      </c>
      <c r="BW102" s="127" t="s">
        <v>191</v>
      </c>
      <c r="BX102" s="127" t="s">
        <v>396</v>
      </c>
      <c r="BY102" s="127" t="s">
        <v>189</v>
      </c>
      <c r="BZ102" s="131" t="s">
        <v>556</v>
      </c>
    </row>
    <row r="103" spans="2:78" s="121" customFormat="1" outlineLevel="2">
      <c r="B103" s="121" t="s">
        <v>471</v>
      </c>
      <c r="C103" s="107" t="s">
        <v>547</v>
      </c>
      <c r="D103" s="107" t="s">
        <v>195</v>
      </c>
      <c r="F103" s="107" t="s">
        <v>178</v>
      </c>
      <c r="H103" s="124" t="s">
        <v>563</v>
      </c>
      <c r="I103" s="124"/>
      <c r="J103" s="124"/>
      <c r="K103" s="124" t="s">
        <v>524</v>
      </c>
      <c r="L103" s="124" t="s">
        <v>491</v>
      </c>
      <c r="M103" s="125" t="s">
        <v>183</v>
      </c>
      <c r="N103" s="126">
        <f t="shared" si="13"/>
        <v>4400</v>
      </c>
      <c r="O103" s="127"/>
      <c r="P103" s="127"/>
      <c r="Q103" s="127"/>
      <c r="R103" s="127"/>
      <c r="S103" s="127"/>
      <c r="T103" s="127">
        <v>0</v>
      </c>
      <c r="U103" s="127"/>
      <c r="V103" s="127"/>
      <c r="W103" s="127"/>
      <c r="X103" s="127">
        <v>0</v>
      </c>
      <c r="Y103" s="127"/>
      <c r="Z103" s="127"/>
      <c r="AA103" s="127"/>
      <c r="AB103" s="127">
        <v>0</v>
      </c>
      <c r="AC103" s="127"/>
      <c r="AD103" s="127"/>
      <c r="AE103" s="127"/>
      <c r="AF103" s="127"/>
      <c r="AG103" s="127">
        <v>0</v>
      </c>
      <c r="AH103" s="127"/>
      <c r="AI103" s="127"/>
      <c r="AJ103" s="127"/>
      <c r="AK103" s="127"/>
      <c r="AL103" s="127"/>
      <c r="AM103" s="127"/>
      <c r="AN103" s="127">
        <v>1100</v>
      </c>
      <c r="AO103" s="127"/>
      <c r="AP103" s="127">
        <v>1100</v>
      </c>
      <c r="AQ103" s="127"/>
      <c r="AR103" s="127">
        <v>1100</v>
      </c>
      <c r="AS103" s="127"/>
      <c r="AT103" s="127">
        <v>1100</v>
      </c>
      <c r="AU103" s="127"/>
      <c r="AV103" s="127"/>
      <c r="AW103" s="127"/>
      <c r="AX103" s="127">
        <v>0</v>
      </c>
      <c r="AY103" s="127"/>
      <c r="AZ103" s="127"/>
      <c r="BA103" s="127"/>
      <c r="BB103" s="127">
        <v>0</v>
      </c>
      <c r="BC103" s="127"/>
      <c r="BD103" s="127"/>
      <c r="BE103" s="127"/>
      <c r="BF103" s="127"/>
      <c r="BG103" s="127">
        <v>0</v>
      </c>
      <c r="BH103" s="127"/>
      <c r="BI103" s="127"/>
      <c r="BJ103" s="127"/>
      <c r="BK103" s="127">
        <v>0</v>
      </c>
      <c r="BL103" s="127"/>
      <c r="BM103" s="127"/>
      <c r="BN103" s="127"/>
      <c r="BO103" s="127"/>
      <c r="BP103" s="127" t="s">
        <v>564</v>
      </c>
      <c r="BQ103" s="127" t="s">
        <v>551</v>
      </c>
      <c r="BR103" s="127" t="s">
        <v>565</v>
      </c>
      <c r="BS103" s="127" t="s">
        <v>566</v>
      </c>
      <c r="BT103" s="127" t="s">
        <v>188</v>
      </c>
      <c r="BU103" s="127" t="s">
        <v>499</v>
      </c>
      <c r="BV103" s="127" t="s">
        <v>229</v>
      </c>
      <c r="BW103" s="127" t="s">
        <v>191</v>
      </c>
      <c r="BX103" s="127" t="s">
        <v>567</v>
      </c>
      <c r="BY103" s="127" t="s">
        <v>568</v>
      </c>
      <c r="BZ103" s="127" t="s">
        <v>569</v>
      </c>
    </row>
    <row r="104" spans="2:78" s="121" customFormat="1" outlineLevel="2">
      <c r="B104" s="121" t="s">
        <v>471</v>
      </c>
      <c r="C104" s="107" t="s">
        <v>547</v>
      </c>
      <c r="D104" s="107" t="s">
        <v>195</v>
      </c>
      <c r="F104" s="107" t="s">
        <v>178</v>
      </c>
      <c r="H104" s="124" t="s">
        <v>570</v>
      </c>
      <c r="I104" s="124" t="s">
        <v>571</v>
      </c>
      <c r="J104" s="124"/>
      <c r="K104" s="124" t="s">
        <v>572</v>
      </c>
      <c r="L104" s="124" t="s">
        <v>491</v>
      </c>
      <c r="M104" s="125" t="s">
        <v>183</v>
      </c>
      <c r="N104" s="126">
        <f t="shared" si="13"/>
        <v>6600</v>
      </c>
      <c r="O104" s="127">
        <v>0</v>
      </c>
      <c r="P104" s="127"/>
      <c r="Q104" s="127"/>
      <c r="R104" s="127"/>
      <c r="S104" s="127"/>
      <c r="T104" s="127">
        <v>0</v>
      </c>
      <c r="U104" s="127"/>
      <c r="V104" s="127"/>
      <c r="W104" s="127"/>
      <c r="X104" s="127">
        <v>0</v>
      </c>
      <c r="Y104" s="127"/>
      <c r="Z104" s="127"/>
      <c r="AA104" s="127"/>
      <c r="AB104" s="127">
        <v>0</v>
      </c>
      <c r="AC104" s="127"/>
      <c r="AD104" s="127"/>
      <c r="AE104" s="127"/>
      <c r="AF104" s="127"/>
      <c r="AG104" s="127">
        <v>0</v>
      </c>
      <c r="AH104" s="127"/>
      <c r="AI104" s="127"/>
      <c r="AJ104" s="127"/>
      <c r="AK104" s="127">
        <v>0</v>
      </c>
      <c r="AL104" s="127"/>
      <c r="AM104" s="127"/>
      <c r="AN104" s="127"/>
      <c r="AO104" s="127">
        <v>0</v>
      </c>
      <c r="AP104" s="127"/>
      <c r="AQ104" s="127"/>
      <c r="AR104" s="127"/>
      <c r="AS104" s="127"/>
      <c r="AT104" s="127">
        <v>0</v>
      </c>
      <c r="AU104" s="127"/>
      <c r="AV104" s="127"/>
      <c r="AW104" s="127"/>
      <c r="AX104" s="127"/>
      <c r="AY104" s="127"/>
      <c r="AZ104" s="127"/>
      <c r="BA104" s="127"/>
      <c r="BB104" s="127">
        <v>1100</v>
      </c>
      <c r="BC104" s="127">
        <v>1100</v>
      </c>
      <c r="BD104" s="127">
        <v>1100</v>
      </c>
      <c r="BE104" s="127">
        <v>1100</v>
      </c>
      <c r="BF104" s="127">
        <v>1100</v>
      </c>
      <c r="BG104" s="127">
        <v>1100</v>
      </c>
      <c r="BH104" s="127"/>
      <c r="BI104" s="127"/>
      <c r="BJ104" s="127"/>
      <c r="BK104" s="127">
        <v>0</v>
      </c>
      <c r="BL104" s="127"/>
      <c r="BM104" s="127"/>
      <c r="BN104" s="127"/>
      <c r="BO104" s="127"/>
      <c r="BP104" s="127" t="s">
        <v>573</v>
      </c>
      <c r="BQ104" s="127" t="s">
        <v>574</v>
      </c>
      <c r="BR104" s="127" t="s">
        <v>575</v>
      </c>
      <c r="BS104" s="127" t="s">
        <v>576</v>
      </c>
      <c r="BT104" s="127" t="s">
        <v>188</v>
      </c>
      <c r="BU104" s="127" t="s">
        <v>189</v>
      </c>
      <c r="BV104" s="127" t="s">
        <v>205</v>
      </c>
      <c r="BW104" s="127" t="s">
        <v>191</v>
      </c>
      <c r="BX104" s="127" t="s">
        <v>577</v>
      </c>
      <c r="BY104" s="127" t="s">
        <v>189</v>
      </c>
      <c r="BZ104" s="127" t="s">
        <v>569</v>
      </c>
    </row>
    <row r="105" spans="2:78" s="121" customFormat="1" outlineLevel="2">
      <c r="B105" s="121" t="s">
        <v>471</v>
      </c>
      <c r="C105" s="107" t="s">
        <v>547</v>
      </c>
      <c r="D105" s="107" t="s">
        <v>195</v>
      </c>
      <c r="F105" s="107" t="s">
        <v>178</v>
      </c>
      <c r="H105" s="124" t="s">
        <v>578</v>
      </c>
      <c r="I105" s="124"/>
      <c r="J105" s="124"/>
      <c r="K105" s="124" t="s">
        <v>516</v>
      </c>
      <c r="L105" s="124" t="s">
        <v>491</v>
      </c>
      <c r="M105" s="125" t="s">
        <v>183</v>
      </c>
      <c r="N105" s="126">
        <f t="shared" si="13"/>
        <v>7700</v>
      </c>
      <c r="O105" s="127"/>
      <c r="P105" s="127"/>
      <c r="Q105" s="127"/>
      <c r="R105" s="127"/>
      <c r="S105" s="127"/>
      <c r="T105" s="127">
        <v>0</v>
      </c>
      <c r="U105" s="127"/>
      <c r="V105" s="127"/>
      <c r="W105" s="127"/>
      <c r="X105" s="127">
        <v>0</v>
      </c>
      <c r="Y105" s="127"/>
      <c r="Z105" s="127"/>
      <c r="AA105" s="127"/>
      <c r="AB105" s="127">
        <v>0</v>
      </c>
      <c r="AC105" s="127"/>
      <c r="AD105" s="127"/>
      <c r="AE105" s="127"/>
      <c r="AF105" s="127"/>
      <c r="AG105" s="127">
        <v>0</v>
      </c>
      <c r="AH105" s="127"/>
      <c r="AI105" s="127"/>
      <c r="AJ105" s="127"/>
      <c r="AK105" s="127">
        <v>0</v>
      </c>
      <c r="AL105" s="127"/>
      <c r="AM105" s="127"/>
      <c r="AN105" s="127"/>
      <c r="AO105" s="127">
        <v>0</v>
      </c>
      <c r="AP105" s="127"/>
      <c r="AQ105" s="127"/>
      <c r="AR105" s="127"/>
      <c r="AS105" s="127"/>
      <c r="AT105" s="127">
        <v>0</v>
      </c>
      <c r="AU105" s="127"/>
      <c r="AV105" s="127"/>
      <c r="AW105" s="127"/>
      <c r="AX105" s="127">
        <v>0</v>
      </c>
      <c r="AY105" s="127"/>
      <c r="AZ105" s="127"/>
      <c r="BA105" s="127"/>
      <c r="BB105" s="127">
        <v>1100</v>
      </c>
      <c r="BC105" s="127">
        <v>1100</v>
      </c>
      <c r="BD105" s="127">
        <v>1100</v>
      </c>
      <c r="BE105" s="127">
        <v>1100</v>
      </c>
      <c r="BF105" s="127">
        <v>1100</v>
      </c>
      <c r="BG105" s="127">
        <v>1100</v>
      </c>
      <c r="BH105" s="127">
        <v>1100</v>
      </c>
      <c r="BI105" s="127"/>
      <c r="BJ105" s="127"/>
      <c r="BK105" s="127">
        <v>0</v>
      </c>
      <c r="BL105" s="127"/>
      <c r="BM105" s="127"/>
      <c r="BN105" s="127"/>
      <c r="BO105" s="127"/>
      <c r="BP105" s="127" t="s">
        <v>579</v>
      </c>
      <c r="BQ105" s="127" t="s">
        <v>580</v>
      </c>
      <c r="BR105" s="127" t="s">
        <v>393</v>
      </c>
      <c r="BS105" s="127" t="s">
        <v>581</v>
      </c>
      <c r="BT105" s="127" t="s">
        <v>188</v>
      </c>
      <c r="BU105" s="127" t="s">
        <v>582</v>
      </c>
      <c r="BV105" s="127" t="s">
        <v>229</v>
      </c>
      <c r="BW105" s="127" t="s">
        <v>343</v>
      </c>
      <c r="BX105" s="127" t="s">
        <v>583</v>
      </c>
      <c r="BY105" s="127" t="s">
        <v>189</v>
      </c>
      <c r="BZ105" s="127" t="s">
        <v>189</v>
      </c>
    </row>
    <row r="106" spans="2:78" s="121" customFormat="1" outlineLevel="2">
      <c r="B106" s="121" t="s">
        <v>471</v>
      </c>
      <c r="C106" s="121" t="s">
        <v>547</v>
      </c>
      <c r="D106" s="107" t="s">
        <v>195</v>
      </c>
      <c r="F106" s="107" t="s">
        <v>178</v>
      </c>
      <c r="H106" s="122" t="s">
        <v>584</v>
      </c>
      <c r="I106" s="124"/>
      <c r="J106" s="124"/>
      <c r="K106" s="124" t="s">
        <v>585</v>
      </c>
      <c r="L106" s="124" t="s">
        <v>586</v>
      </c>
      <c r="M106" s="125" t="s">
        <v>183</v>
      </c>
      <c r="N106" s="126">
        <f t="shared" si="13"/>
        <v>3500</v>
      </c>
      <c r="O106" s="127">
        <v>0</v>
      </c>
      <c r="P106" s="127"/>
      <c r="Q106" s="127"/>
      <c r="R106" s="127"/>
      <c r="S106" s="127"/>
      <c r="T106" s="127">
        <v>0</v>
      </c>
      <c r="U106" s="127"/>
      <c r="V106" s="127"/>
      <c r="W106" s="127"/>
      <c r="X106" s="127">
        <v>0</v>
      </c>
      <c r="Y106" s="127"/>
      <c r="Z106" s="127"/>
      <c r="AA106" s="127"/>
      <c r="AB106" s="127">
        <v>0</v>
      </c>
      <c r="AC106" s="127"/>
      <c r="AD106" s="127"/>
      <c r="AE106" s="127"/>
      <c r="AF106" s="127"/>
      <c r="AG106" s="127">
        <v>0</v>
      </c>
      <c r="AH106" s="127"/>
      <c r="AI106" s="127"/>
      <c r="AJ106" s="127"/>
      <c r="AK106" s="127">
        <v>0</v>
      </c>
      <c r="AL106" s="127"/>
      <c r="AM106" s="127"/>
      <c r="AN106" s="127"/>
      <c r="AO106" s="127">
        <v>0</v>
      </c>
      <c r="AP106" s="127"/>
      <c r="AQ106" s="127"/>
      <c r="AR106" s="127"/>
      <c r="AS106" s="127"/>
      <c r="AT106" s="127">
        <v>0</v>
      </c>
      <c r="AU106" s="127"/>
      <c r="AV106" s="127"/>
      <c r="AW106" s="127">
        <v>1200</v>
      </c>
      <c r="AX106" s="127"/>
      <c r="AY106" s="127"/>
      <c r="AZ106" s="127">
        <v>1200</v>
      </c>
      <c r="BA106" s="127"/>
      <c r="BB106" s="127"/>
      <c r="BC106" s="127">
        <v>1100</v>
      </c>
      <c r="BD106" s="127"/>
      <c r="BE106" s="127"/>
      <c r="BF106" s="127"/>
      <c r="BG106" s="127">
        <v>0</v>
      </c>
      <c r="BH106" s="127"/>
      <c r="BI106" s="127"/>
      <c r="BJ106" s="127"/>
      <c r="BK106" s="127">
        <v>0</v>
      </c>
      <c r="BL106" s="127"/>
      <c r="BM106" s="127"/>
      <c r="BN106" s="127"/>
      <c r="BO106" s="127"/>
      <c r="BP106" s="127" t="s">
        <v>587</v>
      </c>
      <c r="BQ106" s="127" t="s">
        <v>588</v>
      </c>
      <c r="BR106" s="127" t="s">
        <v>589</v>
      </c>
      <c r="BS106" s="127" t="s">
        <v>590</v>
      </c>
      <c r="BT106" s="127" t="s">
        <v>239</v>
      </c>
      <c r="BU106" s="127" t="s">
        <v>189</v>
      </c>
      <c r="BV106" s="127" t="s">
        <v>205</v>
      </c>
      <c r="BW106" s="127" t="s">
        <v>191</v>
      </c>
      <c r="BX106" s="127" t="s">
        <v>591</v>
      </c>
      <c r="BY106" s="127" t="s">
        <v>592</v>
      </c>
      <c r="BZ106" s="131" t="s">
        <v>593</v>
      </c>
    </row>
    <row r="107" spans="2:78" s="121" customFormat="1" outlineLevel="2">
      <c r="B107" s="121" t="s">
        <v>471</v>
      </c>
      <c r="C107" s="107" t="s">
        <v>547</v>
      </c>
      <c r="D107" s="107" t="s">
        <v>195</v>
      </c>
      <c r="F107" s="107" t="s">
        <v>178</v>
      </c>
      <c r="H107" s="124" t="s">
        <v>594</v>
      </c>
      <c r="I107" s="124"/>
      <c r="J107" s="124"/>
      <c r="K107" s="124" t="s">
        <v>189</v>
      </c>
      <c r="L107" s="124" t="s">
        <v>491</v>
      </c>
      <c r="M107" s="125" t="s">
        <v>183</v>
      </c>
      <c r="N107" s="126">
        <f t="shared" si="13"/>
        <v>6900</v>
      </c>
      <c r="O107" s="127">
        <v>0</v>
      </c>
      <c r="P107" s="127"/>
      <c r="Q107" s="127"/>
      <c r="R107" s="127"/>
      <c r="S107" s="127"/>
      <c r="T107" s="127">
        <v>0</v>
      </c>
      <c r="U107" s="127"/>
      <c r="V107" s="127"/>
      <c r="W107" s="127"/>
      <c r="X107" s="127">
        <v>0</v>
      </c>
      <c r="Y107" s="127"/>
      <c r="Z107" s="127"/>
      <c r="AA107" s="127"/>
      <c r="AB107" s="127">
        <v>0</v>
      </c>
      <c r="AC107" s="127"/>
      <c r="AD107" s="127"/>
      <c r="AE107" s="127"/>
      <c r="AF107" s="127"/>
      <c r="AG107" s="127">
        <v>0</v>
      </c>
      <c r="AH107" s="127"/>
      <c r="AI107" s="127"/>
      <c r="AJ107" s="127"/>
      <c r="AK107" s="127">
        <v>1200</v>
      </c>
      <c r="AL107" s="127">
        <v>1200</v>
      </c>
      <c r="AM107" s="127">
        <v>1200</v>
      </c>
      <c r="AN107" s="127">
        <v>1200</v>
      </c>
      <c r="AO107" s="127">
        <v>1100</v>
      </c>
      <c r="AP107" s="127">
        <v>1000</v>
      </c>
      <c r="AQ107" s="127"/>
      <c r="AR107" s="127"/>
      <c r="AS107" s="127"/>
      <c r="AT107" s="127">
        <v>0</v>
      </c>
      <c r="AU107" s="127"/>
      <c r="AV107" s="127"/>
      <c r="AW107" s="127"/>
      <c r="AX107" s="127">
        <v>0</v>
      </c>
      <c r="AY107" s="127"/>
      <c r="AZ107" s="127"/>
      <c r="BA107" s="127"/>
      <c r="BB107" s="127">
        <v>0</v>
      </c>
      <c r="BC107" s="127"/>
      <c r="BD107" s="127"/>
      <c r="BE107" s="127"/>
      <c r="BF107" s="127"/>
      <c r="BG107" s="127">
        <v>0</v>
      </c>
      <c r="BH107" s="127"/>
      <c r="BI107" s="127"/>
      <c r="BJ107" s="127"/>
      <c r="BK107" s="127">
        <v>0</v>
      </c>
      <c r="BL107" s="127"/>
      <c r="BM107" s="127"/>
      <c r="BN107" s="127"/>
      <c r="BO107" s="127"/>
      <c r="BP107" s="127" t="s">
        <v>595</v>
      </c>
      <c r="BQ107" s="127" t="s">
        <v>580</v>
      </c>
      <c r="BR107" s="127" t="s">
        <v>393</v>
      </c>
      <c r="BS107" s="127" t="s">
        <v>581</v>
      </c>
      <c r="BT107" s="127" t="s">
        <v>188</v>
      </c>
      <c r="BU107" s="127" t="s">
        <v>189</v>
      </c>
      <c r="BV107" s="127" t="s">
        <v>229</v>
      </c>
      <c r="BW107" s="127" t="s">
        <v>191</v>
      </c>
      <c r="BX107" s="127" t="s">
        <v>596</v>
      </c>
      <c r="BY107" s="127" t="s">
        <v>189</v>
      </c>
      <c r="BZ107" s="127" t="s">
        <v>569</v>
      </c>
    </row>
    <row r="108" spans="2:78" s="121" customFormat="1" outlineLevel="2">
      <c r="B108" s="121" t="s">
        <v>471</v>
      </c>
      <c r="C108" s="107" t="s">
        <v>547</v>
      </c>
      <c r="D108" s="107" t="s">
        <v>195</v>
      </c>
      <c r="F108" s="107" t="s">
        <v>178</v>
      </c>
      <c r="H108" s="122" t="s">
        <v>597</v>
      </c>
      <c r="I108" s="124"/>
      <c r="J108" s="124"/>
      <c r="K108" s="124" t="s">
        <v>189</v>
      </c>
      <c r="L108" s="124" t="s">
        <v>484</v>
      </c>
      <c r="M108" s="125" t="s">
        <v>183</v>
      </c>
      <c r="N108" s="126">
        <f t="shared" si="13"/>
        <v>5200</v>
      </c>
      <c r="O108" s="127">
        <v>0</v>
      </c>
      <c r="P108" s="127"/>
      <c r="Q108" s="127"/>
      <c r="R108" s="127"/>
      <c r="S108" s="127"/>
      <c r="T108" s="127">
        <v>0</v>
      </c>
      <c r="U108" s="127"/>
      <c r="V108" s="127"/>
      <c r="W108" s="127"/>
      <c r="X108" s="127">
        <v>0</v>
      </c>
      <c r="Y108" s="127"/>
      <c r="Z108" s="127"/>
      <c r="AA108" s="127"/>
      <c r="AB108" s="127">
        <v>0</v>
      </c>
      <c r="AC108" s="127"/>
      <c r="AD108" s="127"/>
      <c r="AE108" s="127"/>
      <c r="AF108" s="127"/>
      <c r="AG108" s="127">
        <v>0</v>
      </c>
      <c r="AH108" s="127"/>
      <c r="AI108" s="127"/>
      <c r="AJ108" s="127"/>
      <c r="AK108" s="127"/>
      <c r="AL108" s="127"/>
      <c r="AM108" s="127">
        <v>1000</v>
      </c>
      <c r="AN108" s="127"/>
      <c r="AO108" s="127"/>
      <c r="AP108" s="127">
        <v>4200</v>
      </c>
      <c r="AQ108" s="127"/>
      <c r="AR108" s="127"/>
      <c r="AS108" s="127"/>
      <c r="AT108" s="127"/>
      <c r="AU108" s="127"/>
      <c r="AV108" s="127"/>
      <c r="AW108" s="127"/>
      <c r="AX108" s="127">
        <v>0</v>
      </c>
      <c r="AY108" s="127"/>
      <c r="AZ108" s="127"/>
      <c r="BA108" s="127"/>
      <c r="BB108" s="127">
        <v>0</v>
      </c>
      <c r="BC108" s="127"/>
      <c r="BD108" s="127"/>
      <c r="BE108" s="127"/>
      <c r="BF108" s="127"/>
      <c r="BG108" s="127">
        <v>0</v>
      </c>
      <c r="BH108" s="127"/>
      <c r="BI108" s="127"/>
      <c r="BJ108" s="127"/>
      <c r="BK108" s="127">
        <v>0</v>
      </c>
      <c r="BL108" s="127"/>
      <c r="BM108" s="127"/>
      <c r="BN108" s="127"/>
      <c r="BO108" s="127"/>
      <c r="BP108" s="127" t="s">
        <v>598</v>
      </c>
      <c r="BQ108" s="127" t="s">
        <v>560</v>
      </c>
      <c r="BR108" s="127" t="s">
        <v>599</v>
      </c>
      <c r="BS108" s="127" t="s">
        <v>600</v>
      </c>
      <c r="BT108" s="127" t="s">
        <v>303</v>
      </c>
      <c r="BU108" s="127" t="s">
        <v>189</v>
      </c>
      <c r="BV108" s="127" t="s">
        <v>229</v>
      </c>
      <c r="BW108" s="127" t="s">
        <v>191</v>
      </c>
      <c r="BX108" s="127" t="s">
        <v>596</v>
      </c>
      <c r="BY108" s="127" t="s">
        <v>601</v>
      </c>
      <c r="BZ108" s="131" t="s">
        <v>488</v>
      </c>
    </row>
    <row r="109" spans="2:78" s="121" customFormat="1" outlineLevel="2">
      <c r="B109" s="121" t="s">
        <v>471</v>
      </c>
      <c r="C109" s="107" t="s">
        <v>547</v>
      </c>
      <c r="D109" s="107" t="s">
        <v>195</v>
      </c>
      <c r="F109" s="107" t="s">
        <v>178</v>
      </c>
      <c r="G109" s="107" t="s">
        <v>199</v>
      </c>
      <c r="H109" s="122" t="s">
        <v>602</v>
      </c>
      <c r="I109" s="124"/>
      <c r="J109" s="124"/>
      <c r="K109" s="124" t="s">
        <v>603</v>
      </c>
      <c r="L109" s="124" t="s">
        <v>484</v>
      </c>
      <c r="M109" s="125" t="s">
        <v>183</v>
      </c>
      <c r="N109" s="126">
        <f t="shared" si="13"/>
        <v>3600</v>
      </c>
      <c r="O109" s="127">
        <v>0</v>
      </c>
      <c r="P109" s="127"/>
      <c r="Q109" s="127"/>
      <c r="R109" s="127"/>
      <c r="S109" s="127"/>
      <c r="T109" s="127"/>
      <c r="U109" s="127"/>
      <c r="V109" s="127"/>
      <c r="W109" s="127"/>
      <c r="X109" s="127">
        <v>0</v>
      </c>
      <c r="Y109" s="127">
        <v>1200</v>
      </c>
      <c r="Z109" s="127">
        <v>1200</v>
      </c>
      <c r="AA109" s="127">
        <v>1200</v>
      </c>
      <c r="AB109" s="127"/>
      <c r="AC109" s="127"/>
      <c r="AD109" s="127"/>
      <c r="AE109" s="127"/>
      <c r="AF109" s="127"/>
      <c r="AG109" s="127">
        <v>0</v>
      </c>
      <c r="AH109" s="127"/>
      <c r="AI109" s="127"/>
      <c r="AJ109" s="127"/>
      <c r="AK109" s="127">
        <v>0</v>
      </c>
      <c r="AL109" s="127"/>
      <c r="AM109" s="127"/>
      <c r="AN109" s="127"/>
      <c r="AO109" s="127">
        <v>0</v>
      </c>
      <c r="AP109" s="127"/>
      <c r="AQ109" s="127"/>
      <c r="AR109" s="127"/>
      <c r="AS109" s="127"/>
      <c r="AT109" s="127">
        <v>0</v>
      </c>
      <c r="AU109" s="127"/>
      <c r="AV109" s="127"/>
      <c r="AW109" s="127"/>
      <c r="AX109" s="127">
        <v>0</v>
      </c>
      <c r="AY109" s="127"/>
      <c r="AZ109" s="127"/>
      <c r="BA109" s="127"/>
      <c r="BB109" s="127">
        <v>0</v>
      </c>
      <c r="BC109" s="127"/>
      <c r="BD109" s="127"/>
      <c r="BE109" s="127"/>
      <c r="BF109" s="127"/>
      <c r="BG109" s="127">
        <v>0</v>
      </c>
      <c r="BH109" s="127"/>
      <c r="BI109" s="127"/>
      <c r="BJ109" s="127"/>
      <c r="BK109" s="127">
        <v>0</v>
      </c>
      <c r="BL109" s="127"/>
      <c r="BM109" s="127"/>
      <c r="BN109" s="127"/>
      <c r="BO109" s="127"/>
      <c r="BP109" s="127" t="s">
        <v>604</v>
      </c>
      <c r="BQ109" s="127" t="s">
        <v>605</v>
      </c>
      <c r="BR109" s="127" t="s">
        <v>606</v>
      </c>
      <c r="BS109" s="127" t="s">
        <v>607</v>
      </c>
      <c r="BT109" s="127" t="s">
        <v>303</v>
      </c>
      <c r="BU109" s="127" t="s">
        <v>189</v>
      </c>
      <c r="BV109" s="127" t="s">
        <v>229</v>
      </c>
      <c r="BW109" s="127" t="s">
        <v>191</v>
      </c>
      <c r="BX109" s="127" t="s">
        <v>241</v>
      </c>
      <c r="BY109" s="127" t="s">
        <v>608</v>
      </c>
      <c r="BZ109" s="131" t="s">
        <v>488</v>
      </c>
    </row>
    <row r="110" spans="2:78" s="121" customFormat="1" outlineLevel="2">
      <c r="B110" s="121" t="s">
        <v>471</v>
      </c>
      <c r="C110" s="107" t="s">
        <v>547</v>
      </c>
      <c r="D110" s="107" t="s">
        <v>195</v>
      </c>
      <c r="F110" s="107" t="s">
        <v>178</v>
      </c>
      <c r="H110" s="124" t="s">
        <v>609</v>
      </c>
      <c r="I110" s="124"/>
      <c r="J110" s="124"/>
      <c r="K110" s="124" t="s">
        <v>610</v>
      </c>
      <c r="L110" s="124" t="s">
        <v>484</v>
      </c>
      <c r="M110" s="125" t="s">
        <v>183</v>
      </c>
      <c r="N110" s="126">
        <f t="shared" si="13"/>
        <v>2400</v>
      </c>
      <c r="O110" s="127"/>
      <c r="P110" s="127"/>
      <c r="Q110" s="127"/>
      <c r="R110" s="127"/>
      <c r="S110" s="127"/>
      <c r="T110" s="127">
        <v>0</v>
      </c>
      <c r="U110" s="127"/>
      <c r="V110" s="127"/>
      <c r="W110" s="127"/>
      <c r="X110" s="127">
        <v>0</v>
      </c>
      <c r="Y110" s="127"/>
      <c r="Z110" s="127"/>
      <c r="AA110" s="127"/>
      <c r="AB110" s="127">
        <v>0</v>
      </c>
      <c r="AC110" s="127"/>
      <c r="AD110" s="127"/>
      <c r="AE110" s="127"/>
      <c r="AF110" s="127"/>
      <c r="AG110" s="127">
        <v>0</v>
      </c>
      <c r="AH110" s="127"/>
      <c r="AI110" s="127"/>
      <c r="AJ110" s="127"/>
      <c r="AK110" s="127">
        <v>1200</v>
      </c>
      <c r="AL110" s="127"/>
      <c r="AM110" s="127">
        <v>1200</v>
      </c>
      <c r="AN110" s="127"/>
      <c r="AO110" s="127">
        <v>0</v>
      </c>
      <c r="AP110" s="127"/>
      <c r="AQ110" s="127"/>
      <c r="AR110" s="127"/>
      <c r="AS110" s="127"/>
      <c r="AT110" s="127">
        <v>0</v>
      </c>
      <c r="AU110" s="127"/>
      <c r="AV110" s="127"/>
      <c r="AW110" s="127"/>
      <c r="AX110" s="127">
        <v>0</v>
      </c>
      <c r="AY110" s="127"/>
      <c r="AZ110" s="127"/>
      <c r="BA110" s="127"/>
      <c r="BB110" s="127">
        <v>0</v>
      </c>
      <c r="BC110" s="127"/>
      <c r="BD110" s="127"/>
      <c r="BE110" s="127"/>
      <c r="BF110" s="127"/>
      <c r="BG110" s="127">
        <v>0</v>
      </c>
      <c r="BH110" s="127"/>
      <c r="BI110" s="127"/>
      <c r="BJ110" s="127"/>
      <c r="BK110" s="127">
        <v>0</v>
      </c>
      <c r="BL110" s="127"/>
      <c r="BM110" s="127"/>
      <c r="BN110" s="127"/>
      <c r="BO110" s="127"/>
      <c r="BP110" s="127" t="s">
        <v>611</v>
      </c>
      <c r="BQ110" s="127" t="s">
        <v>612</v>
      </c>
      <c r="BR110" s="127" t="s">
        <v>613</v>
      </c>
      <c r="BS110" s="127" t="s">
        <v>614</v>
      </c>
      <c r="BT110" s="127" t="s">
        <v>188</v>
      </c>
      <c r="BU110" s="127" t="s">
        <v>189</v>
      </c>
      <c r="BV110" s="127" t="s">
        <v>229</v>
      </c>
      <c r="BW110" s="127" t="s">
        <v>343</v>
      </c>
      <c r="BX110" s="127" t="s">
        <v>189</v>
      </c>
      <c r="BY110" s="127" t="s">
        <v>189</v>
      </c>
      <c r="BZ110" s="127" t="s">
        <v>615</v>
      </c>
    </row>
    <row r="111" spans="2:78" s="121" customFormat="1" outlineLevel="2">
      <c r="B111" s="121" t="s">
        <v>471</v>
      </c>
      <c r="C111" s="107" t="s">
        <v>547</v>
      </c>
      <c r="D111" s="107" t="s">
        <v>195</v>
      </c>
      <c r="F111" s="107" t="s">
        <v>178</v>
      </c>
      <c r="G111" s="107" t="s">
        <v>199</v>
      </c>
      <c r="H111" s="122" t="s">
        <v>616</v>
      </c>
      <c r="I111" s="124"/>
      <c r="J111" s="124"/>
      <c r="K111" s="124" t="s">
        <v>617</v>
      </c>
      <c r="L111" s="124" t="s">
        <v>586</v>
      </c>
      <c r="M111" s="125" t="s">
        <v>183</v>
      </c>
      <c r="N111" s="126">
        <f t="shared" si="13"/>
        <v>3600</v>
      </c>
      <c r="O111" s="130">
        <v>2400</v>
      </c>
      <c r="P111" s="127"/>
      <c r="Q111" s="127"/>
      <c r="R111" s="127"/>
      <c r="S111" s="127"/>
      <c r="T111" s="130">
        <v>1200</v>
      </c>
      <c r="U111" s="127"/>
      <c r="V111" s="127"/>
      <c r="W111" s="127"/>
      <c r="X111" s="127">
        <v>0</v>
      </c>
      <c r="Y111" s="127"/>
      <c r="Z111" s="127"/>
      <c r="AA111" s="127"/>
      <c r="AB111" s="127">
        <v>0</v>
      </c>
      <c r="AC111" s="127"/>
      <c r="AD111" s="127"/>
      <c r="AE111" s="127"/>
      <c r="AF111" s="127"/>
      <c r="AG111" s="127">
        <v>0</v>
      </c>
      <c r="AH111" s="127"/>
      <c r="AI111" s="127"/>
      <c r="AJ111" s="127"/>
      <c r="AK111" s="127">
        <v>0</v>
      </c>
      <c r="AL111" s="127"/>
      <c r="AM111" s="127"/>
      <c r="AN111" s="127"/>
      <c r="AO111" s="127">
        <v>0</v>
      </c>
      <c r="AP111" s="127"/>
      <c r="AQ111" s="127"/>
      <c r="AR111" s="127"/>
      <c r="AS111" s="127"/>
      <c r="AT111" s="127">
        <v>0</v>
      </c>
      <c r="AU111" s="127"/>
      <c r="AV111" s="127"/>
      <c r="AW111" s="127"/>
      <c r="AX111" s="127">
        <v>0</v>
      </c>
      <c r="AY111" s="127"/>
      <c r="AZ111" s="127"/>
      <c r="BA111" s="127"/>
      <c r="BB111" s="127">
        <v>0</v>
      </c>
      <c r="BC111" s="127"/>
      <c r="BD111" s="127"/>
      <c r="BE111" s="127"/>
      <c r="BF111" s="127"/>
      <c r="BG111" s="127">
        <v>0</v>
      </c>
      <c r="BH111" s="127"/>
      <c r="BI111" s="127"/>
      <c r="BJ111" s="127"/>
      <c r="BK111" s="127">
        <v>0</v>
      </c>
      <c r="BL111" s="127"/>
      <c r="BM111" s="127"/>
      <c r="BN111" s="127"/>
      <c r="BO111" s="127"/>
      <c r="BP111" s="127" t="s">
        <v>618</v>
      </c>
      <c r="BQ111" s="127" t="s">
        <v>619</v>
      </c>
      <c r="BR111" s="127" t="s">
        <v>620</v>
      </c>
      <c r="BS111" s="127" t="s">
        <v>621</v>
      </c>
      <c r="BT111" s="127" t="s">
        <v>239</v>
      </c>
      <c r="BU111" s="127" t="s">
        <v>189</v>
      </c>
      <c r="BV111" s="127" t="s">
        <v>229</v>
      </c>
      <c r="BW111" s="127" t="s">
        <v>191</v>
      </c>
      <c r="BX111" s="127" t="s">
        <v>240</v>
      </c>
      <c r="BY111" s="127" t="s">
        <v>622</v>
      </c>
      <c r="BZ111" s="131" t="s">
        <v>623</v>
      </c>
    </row>
    <row r="112" spans="2:78" s="121" customFormat="1" outlineLevel="2">
      <c r="B112" s="121" t="s">
        <v>471</v>
      </c>
      <c r="C112" s="107" t="s">
        <v>547</v>
      </c>
      <c r="D112" s="107" t="s">
        <v>195</v>
      </c>
      <c r="F112" s="107" t="s">
        <v>178</v>
      </c>
      <c r="H112" s="122" t="s">
        <v>492</v>
      </c>
      <c r="I112" s="123" t="s">
        <v>493</v>
      </c>
      <c r="J112" s="124"/>
      <c r="K112" s="124" t="s">
        <v>494</v>
      </c>
      <c r="L112" s="124" t="s">
        <v>491</v>
      </c>
      <c r="M112" s="125" t="s">
        <v>183</v>
      </c>
      <c r="N112" s="126">
        <f t="shared" si="13"/>
        <v>4000</v>
      </c>
      <c r="O112" s="127"/>
      <c r="P112" s="127"/>
      <c r="Q112" s="127"/>
      <c r="R112" s="127"/>
      <c r="S112" s="127"/>
      <c r="T112" s="127"/>
      <c r="U112" s="127"/>
      <c r="V112" s="127"/>
      <c r="W112" s="127"/>
      <c r="X112" s="127">
        <v>0</v>
      </c>
      <c r="Y112" s="127"/>
      <c r="Z112" s="127"/>
      <c r="AA112" s="127"/>
      <c r="AB112" s="127">
        <v>0</v>
      </c>
      <c r="AC112" s="127"/>
      <c r="AD112" s="127"/>
      <c r="AE112" s="127"/>
      <c r="AF112" s="127"/>
      <c r="AG112" s="127">
        <v>1000</v>
      </c>
      <c r="AH112" s="127">
        <v>1000</v>
      </c>
      <c r="AI112" s="127">
        <v>1000</v>
      </c>
      <c r="AJ112" s="127">
        <v>1000</v>
      </c>
      <c r="AK112" s="127">
        <v>0</v>
      </c>
      <c r="AL112" s="127"/>
      <c r="AM112" s="127"/>
      <c r="AN112" s="127"/>
      <c r="AO112" s="127">
        <v>0</v>
      </c>
      <c r="AP112" s="127"/>
      <c r="AQ112" s="127"/>
      <c r="AR112" s="127"/>
      <c r="AS112" s="127"/>
      <c r="AT112" s="127">
        <v>0</v>
      </c>
      <c r="AU112" s="127"/>
      <c r="AV112" s="127"/>
      <c r="AW112" s="127"/>
      <c r="AX112" s="127">
        <v>0</v>
      </c>
      <c r="AY112" s="127"/>
      <c r="AZ112" s="127"/>
      <c r="BA112" s="127"/>
      <c r="BB112" s="127">
        <v>0</v>
      </c>
      <c r="BC112" s="127"/>
      <c r="BD112" s="127"/>
      <c r="BE112" s="127"/>
      <c r="BF112" s="127"/>
      <c r="BG112" s="127">
        <v>0</v>
      </c>
      <c r="BH112" s="127"/>
      <c r="BI112" s="127"/>
      <c r="BJ112" s="127"/>
      <c r="BK112" s="127">
        <v>0</v>
      </c>
      <c r="BL112" s="127"/>
      <c r="BM112" s="127"/>
      <c r="BN112" s="127"/>
      <c r="BO112" s="127"/>
      <c r="BP112" s="127" t="s">
        <v>495</v>
      </c>
      <c r="BQ112" s="127" t="s">
        <v>496</v>
      </c>
      <c r="BR112" s="127" t="s">
        <v>497</v>
      </c>
      <c r="BS112" s="127" t="s">
        <v>498</v>
      </c>
      <c r="BT112" s="127" t="s">
        <v>239</v>
      </c>
      <c r="BU112" s="127" t="s">
        <v>499</v>
      </c>
      <c r="BV112" s="127" t="s">
        <v>190</v>
      </c>
      <c r="BW112" s="127" t="s">
        <v>191</v>
      </c>
      <c r="BX112" s="127" t="s">
        <v>500</v>
      </c>
      <c r="BY112" s="127" t="s">
        <v>501</v>
      </c>
      <c r="BZ112" s="128" t="s">
        <v>502</v>
      </c>
    </row>
    <row r="113" spans="2:78" s="121" customFormat="1" outlineLevel="2">
      <c r="B113" s="121" t="s">
        <v>471</v>
      </c>
      <c r="C113" s="107" t="s">
        <v>547</v>
      </c>
      <c r="D113" s="107" t="s">
        <v>195</v>
      </c>
      <c r="F113" s="107" t="s">
        <v>178</v>
      </c>
      <c r="H113" s="122" t="s">
        <v>624</v>
      </c>
      <c r="I113" s="124"/>
      <c r="J113" s="124"/>
      <c r="K113" s="124" t="s">
        <v>625</v>
      </c>
      <c r="L113" s="124" t="s">
        <v>484</v>
      </c>
      <c r="M113" s="125" t="s">
        <v>183</v>
      </c>
      <c r="N113" s="126">
        <f t="shared" si="13"/>
        <v>1200</v>
      </c>
      <c r="O113" s="127">
        <v>0</v>
      </c>
      <c r="P113" s="127"/>
      <c r="Q113" s="127"/>
      <c r="R113" s="127"/>
      <c r="S113" s="127"/>
      <c r="T113" s="127">
        <v>0</v>
      </c>
      <c r="U113" s="127"/>
      <c r="V113" s="127"/>
      <c r="W113" s="127"/>
      <c r="X113" s="127">
        <v>0</v>
      </c>
      <c r="Y113" s="127"/>
      <c r="Z113" s="127"/>
      <c r="AA113" s="127"/>
      <c r="AB113" s="127">
        <v>0</v>
      </c>
      <c r="AC113" s="127"/>
      <c r="AD113" s="127"/>
      <c r="AE113" s="127"/>
      <c r="AF113" s="127"/>
      <c r="AG113" s="127">
        <v>0</v>
      </c>
      <c r="AH113" s="127"/>
      <c r="AI113" s="127"/>
      <c r="AJ113" s="127"/>
      <c r="AK113" s="127">
        <v>1200</v>
      </c>
      <c r="AL113" s="127"/>
      <c r="AM113" s="127"/>
      <c r="AN113" s="127"/>
      <c r="AO113" s="127">
        <v>0</v>
      </c>
      <c r="AP113" s="127"/>
      <c r="AQ113" s="127"/>
      <c r="AR113" s="127"/>
      <c r="AS113" s="127"/>
      <c r="AT113" s="127">
        <v>0</v>
      </c>
      <c r="AU113" s="127"/>
      <c r="AV113" s="127"/>
      <c r="AW113" s="127"/>
      <c r="AX113" s="127">
        <v>0</v>
      </c>
      <c r="AY113" s="127"/>
      <c r="AZ113" s="127"/>
      <c r="BA113" s="127"/>
      <c r="BB113" s="127">
        <v>0</v>
      </c>
      <c r="BC113" s="127"/>
      <c r="BD113" s="127"/>
      <c r="BE113" s="127"/>
      <c r="BF113" s="127"/>
      <c r="BG113" s="127">
        <v>0</v>
      </c>
      <c r="BH113" s="127"/>
      <c r="BI113" s="127"/>
      <c r="BJ113" s="127"/>
      <c r="BK113" s="127">
        <v>0</v>
      </c>
      <c r="BL113" s="127"/>
      <c r="BM113" s="127"/>
      <c r="BN113" s="127"/>
      <c r="BO113" s="127"/>
      <c r="BP113" s="127" t="s">
        <v>626</v>
      </c>
      <c r="BQ113" s="127" t="s">
        <v>612</v>
      </c>
      <c r="BR113" s="127" t="s">
        <v>627</v>
      </c>
      <c r="BS113" s="127" t="s">
        <v>628</v>
      </c>
      <c r="BT113" s="127" t="s">
        <v>188</v>
      </c>
      <c r="BU113" s="127" t="s">
        <v>189</v>
      </c>
      <c r="BV113" s="127" t="s">
        <v>229</v>
      </c>
      <c r="BW113" s="127" t="s">
        <v>343</v>
      </c>
      <c r="BX113" s="127" t="s">
        <v>629</v>
      </c>
      <c r="BY113" s="127" t="s">
        <v>189</v>
      </c>
      <c r="BZ113" s="131" t="s">
        <v>630</v>
      </c>
    </row>
    <row r="114" spans="2:78" s="121" customFormat="1" outlineLevel="2">
      <c r="B114" s="129" t="s">
        <v>471</v>
      </c>
      <c r="C114" s="107" t="s">
        <v>547</v>
      </c>
      <c r="D114" s="107" t="s">
        <v>177</v>
      </c>
      <c r="F114" s="107" t="s">
        <v>178</v>
      </c>
      <c r="H114" s="122" t="s">
        <v>526</v>
      </c>
      <c r="I114" s="123" t="s">
        <v>631</v>
      </c>
      <c r="J114" s="124"/>
      <c r="K114" s="124" t="s">
        <v>528</v>
      </c>
      <c r="L114" s="124" t="s">
        <v>529</v>
      </c>
      <c r="M114" s="125" t="s">
        <v>183</v>
      </c>
      <c r="N114" s="126">
        <f t="shared" si="13"/>
        <v>8000</v>
      </c>
      <c r="O114" s="127">
        <v>0</v>
      </c>
      <c r="P114" s="127"/>
      <c r="Q114" s="127"/>
      <c r="R114" s="127"/>
      <c r="S114" s="127"/>
      <c r="T114" s="127">
        <v>0</v>
      </c>
      <c r="U114" s="127"/>
      <c r="V114" s="127"/>
      <c r="W114" s="127"/>
      <c r="X114" s="127">
        <v>0</v>
      </c>
      <c r="Y114" s="127"/>
      <c r="Z114" s="127"/>
      <c r="AA114" s="127"/>
      <c r="AB114" s="127">
        <v>0</v>
      </c>
      <c r="AC114" s="127"/>
      <c r="AD114" s="127"/>
      <c r="AE114" s="127"/>
      <c r="AF114" s="127"/>
      <c r="AG114" s="127">
        <v>0</v>
      </c>
      <c r="AH114" s="127"/>
      <c r="AI114" s="127"/>
      <c r="AJ114" s="127">
        <v>2000</v>
      </c>
      <c r="AK114" s="127">
        <v>2000</v>
      </c>
      <c r="AL114" s="127">
        <v>2000</v>
      </c>
      <c r="AM114" s="127">
        <v>2000</v>
      </c>
      <c r="AN114" s="127"/>
      <c r="AO114" s="127">
        <v>0</v>
      </c>
      <c r="AP114" s="127"/>
      <c r="AQ114" s="127"/>
      <c r="AR114" s="127"/>
      <c r="AS114" s="127"/>
      <c r="AT114" s="127">
        <v>0</v>
      </c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 t="s">
        <v>530</v>
      </c>
      <c r="BQ114" s="127" t="s">
        <v>531</v>
      </c>
      <c r="BR114" s="127" t="s">
        <v>532</v>
      </c>
      <c r="BS114" s="127" t="s">
        <v>533</v>
      </c>
      <c r="BT114" s="127" t="s">
        <v>188</v>
      </c>
      <c r="BU114" s="127" t="s">
        <v>189</v>
      </c>
      <c r="BV114" s="127" t="s">
        <v>190</v>
      </c>
      <c r="BW114" s="127" t="s">
        <v>191</v>
      </c>
      <c r="BX114" s="127" t="s">
        <v>534</v>
      </c>
      <c r="BY114" s="127" t="s">
        <v>535</v>
      </c>
      <c r="BZ114" s="128" t="s">
        <v>502</v>
      </c>
    </row>
    <row r="115" spans="2:78" s="121" customFormat="1" outlineLevel="2">
      <c r="B115" s="129" t="s">
        <v>471</v>
      </c>
      <c r="C115" s="107" t="s">
        <v>547</v>
      </c>
      <c r="D115" s="107" t="s">
        <v>177</v>
      </c>
      <c r="F115" s="107" t="s">
        <v>178</v>
      </c>
      <c r="H115" s="122" t="s">
        <v>526</v>
      </c>
      <c r="I115" s="123" t="s">
        <v>527</v>
      </c>
      <c r="J115" s="124"/>
      <c r="K115" s="124" t="s">
        <v>632</v>
      </c>
      <c r="L115" s="124" t="s">
        <v>529</v>
      </c>
      <c r="M115" s="125" t="s">
        <v>183</v>
      </c>
      <c r="N115" s="126">
        <f t="shared" si="13"/>
        <v>10000</v>
      </c>
      <c r="O115" s="127">
        <v>0</v>
      </c>
      <c r="P115" s="127"/>
      <c r="Q115" s="127"/>
      <c r="R115" s="127"/>
      <c r="S115" s="127"/>
      <c r="T115" s="127">
        <v>0</v>
      </c>
      <c r="U115" s="127"/>
      <c r="V115" s="127"/>
      <c r="W115" s="127"/>
      <c r="X115" s="127">
        <v>0</v>
      </c>
      <c r="Y115" s="127"/>
      <c r="Z115" s="127"/>
      <c r="AA115" s="127"/>
      <c r="AB115" s="127">
        <v>0</v>
      </c>
      <c r="AC115" s="127"/>
      <c r="AD115" s="127"/>
      <c r="AE115" s="127"/>
      <c r="AF115" s="127"/>
      <c r="AG115" s="127">
        <v>0</v>
      </c>
      <c r="AH115" s="127"/>
      <c r="AI115" s="127"/>
      <c r="AJ115" s="127"/>
      <c r="AK115" s="127"/>
      <c r="AL115" s="127"/>
      <c r="AM115" s="127"/>
      <c r="AN115" s="127"/>
      <c r="AO115" s="127">
        <v>0</v>
      </c>
      <c r="AP115" s="127"/>
      <c r="AQ115" s="127"/>
      <c r="AR115" s="127"/>
      <c r="AS115" s="127"/>
      <c r="AT115" s="127">
        <v>0</v>
      </c>
      <c r="AU115" s="127"/>
      <c r="AV115" s="127"/>
      <c r="AW115" s="127"/>
      <c r="AX115" s="127">
        <v>2000</v>
      </c>
      <c r="AY115" s="127">
        <v>2000</v>
      </c>
      <c r="AZ115" s="127">
        <v>2000</v>
      </c>
      <c r="BA115" s="127">
        <v>2000</v>
      </c>
      <c r="BB115" s="127">
        <v>2000</v>
      </c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 t="s">
        <v>530</v>
      </c>
      <c r="BQ115" s="127" t="s">
        <v>531</v>
      </c>
      <c r="BR115" s="127" t="s">
        <v>532</v>
      </c>
      <c r="BS115" s="127" t="s">
        <v>533</v>
      </c>
      <c r="BT115" s="127" t="s">
        <v>188</v>
      </c>
      <c r="BU115" s="127" t="s">
        <v>189</v>
      </c>
      <c r="BV115" s="127" t="s">
        <v>190</v>
      </c>
      <c r="BW115" s="127" t="s">
        <v>191</v>
      </c>
      <c r="BX115" s="127" t="s">
        <v>534</v>
      </c>
      <c r="BY115" s="127" t="s">
        <v>535</v>
      </c>
      <c r="BZ115" s="128" t="s">
        <v>502</v>
      </c>
    </row>
    <row r="116" spans="2:78" s="121" customFormat="1" outlineLevel="2">
      <c r="B116" s="129" t="s">
        <v>471</v>
      </c>
      <c r="C116" s="107" t="s">
        <v>547</v>
      </c>
      <c r="D116" s="107" t="s">
        <v>195</v>
      </c>
      <c r="F116" s="107" t="s">
        <v>178</v>
      </c>
      <c r="H116" s="122" t="s">
        <v>526</v>
      </c>
      <c r="I116" s="123" t="s">
        <v>527</v>
      </c>
      <c r="J116" s="124"/>
      <c r="K116" s="124" t="s">
        <v>632</v>
      </c>
      <c r="L116" s="124" t="s">
        <v>529</v>
      </c>
      <c r="M116" s="125" t="s">
        <v>183</v>
      </c>
      <c r="N116" s="126">
        <f t="shared" si="13"/>
        <v>24200</v>
      </c>
      <c r="O116" s="127">
        <v>0</v>
      </c>
      <c r="P116" s="127"/>
      <c r="Q116" s="127"/>
      <c r="R116" s="127"/>
      <c r="S116" s="127"/>
      <c r="T116" s="127">
        <v>0</v>
      </c>
      <c r="U116" s="127"/>
      <c r="V116" s="127"/>
      <c r="W116" s="127"/>
      <c r="X116" s="127">
        <v>0</v>
      </c>
      <c r="Y116" s="127"/>
      <c r="Z116" s="127"/>
      <c r="AA116" s="127"/>
      <c r="AB116" s="127">
        <v>0</v>
      </c>
      <c r="AC116" s="127"/>
      <c r="AD116" s="127"/>
      <c r="AE116" s="127"/>
      <c r="AF116" s="127"/>
      <c r="AG116" s="127">
        <v>0</v>
      </c>
      <c r="AH116" s="127"/>
      <c r="AI116" s="127"/>
      <c r="AJ116" s="127"/>
      <c r="AK116" s="127"/>
      <c r="AL116" s="127"/>
      <c r="AM116" s="127"/>
      <c r="AN116" s="127"/>
      <c r="AO116" s="127">
        <v>0</v>
      </c>
      <c r="AP116" s="127"/>
      <c r="AQ116" s="127"/>
      <c r="AR116" s="127"/>
      <c r="AS116" s="127"/>
      <c r="AT116" s="127">
        <v>0</v>
      </c>
      <c r="AU116" s="127"/>
      <c r="AV116" s="127"/>
      <c r="AW116" s="127"/>
      <c r="AX116" s="127"/>
      <c r="AY116" s="127"/>
      <c r="AZ116" s="127"/>
      <c r="BA116" s="127"/>
      <c r="BB116" s="127"/>
      <c r="BC116" s="127">
        <v>2200</v>
      </c>
      <c r="BD116" s="127">
        <v>2200</v>
      </c>
      <c r="BE116" s="127">
        <v>2200</v>
      </c>
      <c r="BF116" s="127">
        <v>2200</v>
      </c>
      <c r="BG116" s="127">
        <v>2200</v>
      </c>
      <c r="BH116" s="127">
        <v>2200</v>
      </c>
      <c r="BI116" s="127">
        <v>2200</v>
      </c>
      <c r="BJ116" s="127">
        <v>2200</v>
      </c>
      <c r="BK116" s="127">
        <v>2200</v>
      </c>
      <c r="BL116" s="127">
        <v>2200</v>
      </c>
      <c r="BM116" s="127">
        <v>2200</v>
      </c>
      <c r="BN116" s="127"/>
      <c r="BO116" s="127"/>
      <c r="BP116" s="127" t="s">
        <v>530</v>
      </c>
      <c r="BQ116" s="127" t="s">
        <v>531</v>
      </c>
      <c r="BR116" s="127" t="s">
        <v>532</v>
      </c>
      <c r="BS116" s="127" t="s">
        <v>533</v>
      </c>
      <c r="BT116" s="127" t="s">
        <v>188</v>
      </c>
      <c r="BU116" s="127" t="s">
        <v>189</v>
      </c>
      <c r="BV116" s="127" t="s">
        <v>190</v>
      </c>
      <c r="BW116" s="127" t="s">
        <v>191</v>
      </c>
      <c r="BX116" s="127" t="s">
        <v>534</v>
      </c>
      <c r="BY116" s="127" t="s">
        <v>535</v>
      </c>
      <c r="BZ116" s="128" t="s">
        <v>502</v>
      </c>
    </row>
    <row r="117" spans="2:78" s="121" customFormat="1" outlineLevel="2">
      <c r="B117" s="129" t="s">
        <v>471</v>
      </c>
      <c r="C117" s="107" t="s">
        <v>547</v>
      </c>
      <c r="D117" s="107" t="s">
        <v>195</v>
      </c>
      <c r="F117" s="107" t="s">
        <v>178</v>
      </c>
      <c r="H117" s="122" t="s">
        <v>526</v>
      </c>
      <c r="I117" s="123" t="s">
        <v>527</v>
      </c>
      <c r="J117" s="124"/>
      <c r="K117" s="124" t="s">
        <v>528</v>
      </c>
      <c r="L117" s="124" t="s">
        <v>529</v>
      </c>
      <c r="M117" s="125" t="s">
        <v>183</v>
      </c>
      <c r="N117" s="126">
        <f t="shared" si="13"/>
        <v>33000</v>
      </c>
      <c r="O117" s="127">
        <v>0</v>
      </c>
      <c r="P117" s="127"/>
      <c r="Q117" s="127"/>
      <c r="R117" s="127"/>
      <c r="S117" s="127"/>
      <c r="T117" s="127">
        <v>0</v>
      </c>
      <c r="U117" s="127"/>
      <c r="V117" s="127"/>
      <c r="W117" s="127"/>
      <c r="X117" s="127">
        <v>0</v>
      </c>
      <c r="Y117" s="127"/>
      <c r="Z117" s="127"/>
      <c r="AA117" s="127"/>
      <c r="AB117" s="127">
        <v>0</v>
      </c>
      <c r="AC117" s="127"/>
      <c r="AD117" s="127"/>
      <c r="AE117" s="127"/>
      <c r="AF117" s="127"/>
      <c r="AG117" s="127">
        <v>0</v>
      </c>
      <c r="AH117" s="127"/>
      <c r="AI117" s="127"/>
      <c r="AJ117" s="127"/>
      <c r="AK117" s="127"/>
      <c r="AL117" s="127"/>
      <c r="AM117" s="127"/>
      <c r="AN117" s="127"/>
      <c r="AO117" s="127">
        <v>0</v>
      </c>
      <c r="AP117" s="127"/>
      <c r="AQ117" s="127"/>
      <c r="AR117" s="127"/>
      <c r="AS117" s="127"/>
      <c r="AT117" s="127">
        <v>0</v>
      </c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>
        <v>3300</v>
      </c>
      <c r="BE117" s="127">
        <v>3300</v>
      </c>
      <c r="BF117" s="127">
        <v>3300</v>
      </c>
      <c r="BG117" s="127">
        <v>3300</v>
      </c>
      <c r="BH117" s="127">
        <v>3300</v>
      </c>
      <c r="BI117" s="127">
        <v>3300</v>
      </c>
      <c r="BJ117" s="127">
        <v>3300</v>
      </c>
      <c r="BK117" s="127">
        <v>3300</v>
      </c>
      <c r="BL117" s="127">
        <v>3300</v>
      </c>
      <c r="BM117" s="127">
        <v>3300</v>
      </c>
      <c r="BN117" s="127"/>
      <c r="BO117" s="127"/>
      <c r="BP117" s="127" t="s">
        <v>530</v>
      </c>
      <c r="BQ117" s="127" t="s">
        <v>531</v>
      </c>
      <c r="BR117" s="127" t="s">
        <v>532</v>
      </c>
      <c r="BS117" s="127" t="s">
        <v>533</v>
      </c>
      <c r="BT117" s="127" t="s">
        <v>188</v>
      </c>
      <c r="BU117" s="127" t="s">
        <v>189</v>
      </c>
      <c r="BV117" s="127" t="s">
        <v>190</v>
      </c>
      <c r="BW117" s="127" t="s">
        <v>191</v>
      </c>
      <c r="BX117" s="127" t="s">
        <v>534</v>
      </c>
      <c r="BY117" s="127" t="s">
        <v>535</v>
      </c>
      <c r="BZ117" s="128" t="s">
        <v>502</v>
      </c>
    </row>
    <row r="118" spans="2:78" s="121" customFormat="1" outlineLevel="2">
      <c r="B118" s="121" t="s">
        <v>471</v>
      </c>
      <c r="C118" s="107" t="s">
        <v>547</v>
      </c>
      <c r="D118" s="107" t="s">
        <v>195</v>
      </c>
      <c r="F118" s="107" t="s">
        <v>178</v>
      </c>
      <c r="H118" s="122" t="s">
        <v>633</v>
      </c>
      <c r="I118" s="124"/>
      <c r="J118" s="124"/>
      <c r="K118" s="124" t="s">
        <v>634</v>
      </c>
      <c r="L118" s="124" t="s">
        <v>484</v>
      </c>
      <c r="M118" s="125" t="s">
        <v>183</v>
      </c>
      <c r="N118" s="126">
        <f t="shared" si="13"/>
        <v>2400</v>
      </c>
      <c r="O118" s="127">
        <v>0</v>
      </c>
      <c r="P118" s="127"/>
      <c r="Q118" s="127"/>
      <c r="R118" s="127"/>
      <c r="S118" s="127"/>
      <c r="T118" s="127">
        <v>0</v>
      </c>
      <c r="U118" s="127"/>
      <c r="V118" s="127"/>
      <c r="W118" s="127"/>
      <c r="X118" s="127">
        <v>0</v>
      </c>
      <c r="Y118" s="127"/>
      <c r="Z118" s="127"/>
      <c r="AA118" s="127"/>
      <c r="AB118" s="127">
        <v>0</v>
      </c>
      <c r="AC118" s="127"/>
      <c r="AD118" s="127"/>
      <c r="AE118" s="127"/>
      <c r="AF118" s="127"/>
      <c r="AG118" s="127">
        <v>0</v>
      </c>
      <c r="AH118" s="127"/>
      <c r="AI118" s="127"/>
      <c r="AJ118" s="127"/>
      <c r="AK118" s="127">
        <v>0</v>
      </c>
      <c r="AL118" s="127"/>
      <c r="AM118" s="127"/>
      <c r="AN118" s="127"/>
      <c r="AO118" s="127">
        <v>0</v>
      </c>
      <c r="AP118" s="127"/>
      <c r="AQ118" s="127"/>
      <c r="AR118" s="127"/>
      <c r="AS118" s="127"/>
      <c r="AT118" s="127">
        <v>0</v>
      </c>
      <c r="AU118" s="127"/>
      <c r="AV118" s="127"/>
      <c r="AW118" s="127"/>
      <c r="AX118" s="127"/>
      <c r="AY118" s="127"/>
      <c r="AZ118" s="127"/>
      <c r="BA118" s="127"/>
      <c r="BB118" s="127">
        <v>0</v>
      </c>
      <c r="BC118" s="127"/>
      <c r="BD118" s="127"/>
      <c r="BE118" s="127"/>
      <c r="BF118" s="127"/>
      <c r="BG118" s="127">
        <v>0</v>
      </c>
      <c r="BH118" s="127">
        <v>2400</v>
      </c>
      <c r="BI118" s="127"/>
      <c r="BJ118" s="127"/>
      <c r="BK118" s="127">
        <v>0</v>
      </c>
      <c r="BL118" s="127"/>
      <c r="BM118" s="127"/>
      <c r="BN118" s="127"/>
      <c r="BO118" s="127"/>
      <c r="BP118" s="127" t="s">
        <v>635</v>
      </c>
      <c r="BQ118" s="127" t="s">
        <v>636</v>
      </c>
      <c r="BR118" s="127" t="s">
        <v>637</v>
      </c>
      <c r="BS118" s="127" t="s">
        <v>638</v>
      </c>
      <c r="BT118" s="127" t="s">
        <v>188</v>
      </c>
      <c r="BU118" s="127" t="s">
        <v>189</v>
      </c>
      <c r="BV118" s="127" t="s">
        <v>229</v>
      </c>
      <c r="BW118" s="127" t="s">
        <v>343</v>
      </c>
      <c r="BX118" s="127" t="s">
        <v>639</v>
      </c>
      <c r="BY118" s="127" t="s">
        <v>378</v>
      </c>
      <c r="BZ118" s="131" t="s">
        <v>488</v>
      </c>
    </row>
    <row r="119" spans="2:78" s="121" customFormat="1" outlineLevel="2">
      <c r="B119" s="121" t="s">
        <v>471</v>
      </c>
      <c r="C119" s="107" t="s">
        <v>547</v>
      </c>
      <c r="D119" s="107" t="s">
        <v>195</v>
      </c>
      <c r="F119" s="107" t="s">
        <v>178</v>
      </c>
      <c r="G119" s="107" t="s">
        <v>199</v>
      </c>
      <c r="H119" s="122" t="s">
        <v>538</v>
      </c>
      <c r="I119" s="124"/>
      <c r="J119" s="124"/>
      <c r="K119" s="124" t="s">
        <v>539</v>
      </c>
      <c r="L119" s="124" t="s">
        <v>491</v>
      </c>
      <c r="M119" s="125" t="s">
        <v>183</v>
      </c>
      <c r="N119" s="126">
        <f t="shared" si="13"/>
        <v>1200</v>
      </c>
      <c r="O119" s="127"/>
      <c r="P119" s="127"/>
      <c r="Q119" s="127"/>
      <c r="R119" s="127"/>
      <c r="S119" s="127"/>
      <c r="T119" s="127"/>
      <c r="U119" s="127"/>
      <c r="V119" s="127"/>
      <c r="W119" s="130">
        <v>1200</v>
      </c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27"/>
      <c r="BN119" s="127"/>
      <c r="BO119" s="127"/>
      <c r="BP119" s="127"/>
      <c r="BQ119" s="127"/>
      <c r="BR119" s="127"/>
      <c r="BS119" s="127"/>
      <c r="BT119" s="127"/>
      <c r="BU119" s="127"/>
      <c r="BV119" s="127"/>
      <c r="BW119" s="127"/>
      <c r="BX119" s="127"/>
      <c r="BY119" s="127"/>
      <c r="BZ119" s="131"/>
    </row>
    <row r="120" spans="2:78" s="121" customFormat="1" outlineLevel="2">
      <c r="B120" s="121" t="s">
        <v>471</v>
      </c>
      <c r="C120" s="107" t="s">
        <v>547</v>
      </c>
      <c r="D120" s="107" t="s">
        <v>195</v>
      </c>
      <c r="F120" s="107" t="s">
        <v>178</v>
      </c>
      <c r="G120" s="107" t="s">
        <v>199</v>
      </c>
      <c r="H120" s="122" t="s">
        <v>640</v>
      </c>
      <c r="I120" s="124"/>
      <c r="J120" s="124"/>
      <c r="K120" s="124" t="s">
        <v>641</v>
      </c>
      <c r="L120" s="124" t="s">
        <v>484</v>
      </c>
      <c r="M120" s="125" t="s">
        <v>183</v>
      </c>
      <c r="N120" s="126">
        <f t="shared" si="13"/>
        <v>2100</v>
      </c>
      <c r="O120" s="127"/>
      <c r="P120" s="130">
        <v>1100</v>
      </c>
      <c r="Q120" s="130">
        <v>1000</v>
      </c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  <c r="BM120" s="127"/>
      <c r="BN120" s="127"/>
      <c r="BO120" s="127"/>
      <c r="BP120" s="127"/>
      <c r="BQ120" s="127"/>
      <c r="BR120" s="127"/>
      <c r="BS120" s="127"/>
      <c r="BT120" s="127"/>
      <c r="BU120" s="127"/>
      <c r="BV120" s="127"/>
      <c r="BW120" s="127"/>
      <c r="BX120" s="127"/>
      <c r="BY120" s="127"/>
      <c r="BZ120" s="131"/>
    </row>
    <row r="121" spans="2:78" s="121" customFormat="1" outlineLevel="2">
      <c r="B121" s="121" t="s">
        <v>471</v>
      </c>
      <c r="C121" s="107" t="s">
        <v>547</v>
      </c>
      <c r="D121" s="107" t="s">
        <v>198</v>
      </c>
      <c r="E121" s="102"/>
      <c r="F121" s="107" t="s">
        <v>178</v>
      </c>
      <c r="G121" s="107"/>
      <c r="H121" s="147" t="s">
        <v>642</v>
      </c>
      <c r="I121" s="153"/>
      <c r="J121" s="153"/>
      <c r="K121" s="153"/>
      <c r="L121" s="153"/>
      <c r="M121" s="125" t="s">
        <v>183</v>
      </c>
      <c r="N121" s="126">
        <v>10000</v>
      </c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  <c r="BO121" s="127"/>
      <c r="BP121" s="127"/>
      <c r="BQ121" s="127"/>
      <c r="BR121" s="127"/>
      <c r="BS121" s="127"/>
      <c r="BT121" s="127"/>
      <c r="BU121" s="127"/>
      <c r="BV121" s="127"/>
      <c r="BW121" s="127"/>
      <c r="BX121" s="127"/>
      <c r="BY121" s="127"/>
      <c r="BZ121" s="127"/>
    </row>
    <row r="122" spans="2:78" s="121" customFormat="1" outlineLevel="2">
      <c r="B122" s="121" t="s">
        <v>471</v>
      </c>
      <c r="C122" s="107" t="s">
        <v>547</v>
      </c>
      <c r="D122" s="107" t="s">
        <v>198</v>
      </c>
      <c r="E122" s="102"/>
      <c r="F122" s="107" t="s">
        <v>178</v>
      </c>
      <c r="G122" s="107"/>
      <c r="H122" s="147" t="s">
        <v>643</v>
      </c>
      <c r="I122" s="153"/>
      <c r="J122" s="153"/>
      <c r="K122" s="153"/>
      <c r="L122" s="153"/>
      <c r="M122" s="125" t="s">
        <v>183</v>
      </c>
      <c r="N122" s="126">
        <v>20000</v>
      </c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  <c r="BM122" s="127"/>
      <c r="BN122" s="127"/>
      <c r="BO122" s="127"/>
      <c r="BP122" s="127"/>
      <c r="BQ122" s="127"/>
      <c r="BR122" s="127"/>
      <c r="BS122" s="127"/>
      <c r="BT122" s="127"/>
      <c r="BU122" s="127"/>
      <c r="BV122" s="127"/>
      <c r="BW122" s="127"/>
      <c r="BX122" s="127"/>
      <c r="BY122" s="127"/>
      <c r="BZ122" s="127"/>
    </row>
    <row r="123" spans="2:78" s="139" customFormat="1" outlineLevel="1">
      <c r="C123" s="140" t="s">
        <v>644</v>
      </c>
      <c r="H123" s="141"/>
      <c r="I123" s="141"/>
      <c r="J123" s="141"/>
      <c r="K123" s="141"/>
      <c r="L123" s="141"/>
      <c r="M123" s="142"/>
      <c r="N123" s="143">
        <f t="shared" ref="N123:BO123" si="14">SUBTOTAL(9,N100:N122)</f>
        <v>161800</v>
      </c>
      <c r="O123" s="144">
        <f t="shared" si="14"/>
        <v>3300</v>
      </c>
      <c r="P123" s="144">
        <f t="shared" si="14"/>
        <v>2000</v>
      </c>
      <c r="Q123" s="144">
        <f t="shared" si="14"/>
        <v>1000</v>
      </c>
      <c r="R123" s="144">
        <f t="shared" si="14"/>
        <v>0</v>
      </c>
      <c r="S123" s="144">
        <f t="shared" si="14"/>
        <v>0</v>
      </c>
      <c r="T123" s="144">
        <f t="shared" si="14"/>
        <v>1200</v>
      </c>
      <c r="U123" s="144">
        <f t="shared" si="14"/>
        <v>0</v>
      </c>
      <c r="V123" s="144">
        <f t="shared" si="14"/>
        <v>0</v>
      </c>
      <c r="W123" s="144">
        <f t="shared" si="14"/>
        <v>1200</v>
      </c>
      <c r="X123" s="144">
        <f t="shared" si="14"/>
        <v>0</v>
      </c>
      <c r="Y123" s="144">
        <f t="shared" si="14"/>
        <v>1200</v>
      </c>
      <c r="Z123" s="144">
        <f t="shared" si="14"/>
        <v>1200</v>
      </c>
      <c r="AA123" s="144">
        <f t="shared" si="14"/>
        <v>1200</v>
      </c>
      <c r="AB123" s="144">
        <f t="shared" si="14"/>
        <v>0</v>
      </c>
      <c r="AC123" s="144">
        <f t="shared" si="14"/>
        <v>0</v>
      </c>
      <c r="AD123" s="144">
        <f t="shared" si="14"/>
        <v>0</v>
      </c>
      <c r="AE123" s="144">
        <f t="shared" si="14"/>
        <v>0</v>
      </c>
      <c r="AF123" s="144">
        <f t="shared" si="14"/>
        <v>0</v>
      </c>
      <c r="AG123" s="144">
        <f t="shared" si="14"/>
        <v>1000</v>
      </c>
      <c r="AH123" s="144">
        <f t="shared" si="14"/>
        <v>1000</v>
      </c>
      <c r="AI123" s="144">
        <f t="shared" si="14"/>
        <v>1000</v>
      </c>
      <c r="AJ123" s="144">
        <f t="shared" si="14"/>
        <v>3000</v>
      </c>
      <c r="AK123" s="144">
        <f t="shared" si="14"/>
        <v>5600</v>
      </c>
      <c r="AL123" s="144">
        <f t="shared" si="14"/>
        <v>3200</v>
      </c>
      <c r="AM123" s="144">
        <f t="shared" si="14"/>
        <v>5400</v>
      </c>
      <c r="AN123" s="144">
        <f t="shared" si="14"/>
        <v>2300</v>
      </c>
      <c r="AO123" s="144">
        <f t="shared" si="14"/>
        <v>1100</v>
      </c>
      <c r="AP123" s="144">
        <f t="shared" si="14"/>
        <v>6300</v>
      </c>
      <c r="AQ123" s="144">
        <f t="shared" si="14"/>
        <v>0</v>
      </c>
      <c r="AR123" s="144">
        <f t="shared" si="14"/>
        <v>1100</v>
      </c>
      <c r="AS123" s="144">
        <f t="shared" si="14"/>
        <v>0</v>
      </c>
      <c r="AT123" s="144">
        <f t="shared" si="14"/>
        <v>1100</v>
      </c>
      <c r="AU123" s="144">
        <f t="shared" si="14"/>
        <v>0</v>
      </c>
      <c r="AV123" s="144">
        <f t="shared" si="14"/>
        <v>0</v>
      </c>
      <c r="AW123" s="144">
        <f t="shared" si="14"/>
        <v>1200</v>
      </c>
      <c r="AX123" s="144">
        <f t="shared" si="14"/>
        <v>2000</v>
      </c>
      <c r="AY123" s="144">
        <f t="shared" si="14"/>
        <v>2000</v>
      </c>
      <c r="AZ123" s="144">
        <f t="shared" si="14"/>
        <v>3200</v>
      </c>
      <c r="BA123" s="144">
        <f t="shared" si="14"/>
        <v>2000</v>
      </c>
      <c r="BB123" s="144">
        <f t="shared" si="14"/>
        <v>4200</v>
      </c>
      <c r="BC123" s="144">
        <f t="shared" si="14"/>
        <v>5500</v>
      </c>
      <c r="BD123" s="144">
        <f t="shared" si="14"/>
        <v>7700</v>
      </c>
      <c r="BE123" s="144">
        <f t="shared" si="14"/>
        <v>7700</v>
      </c>
      <c r="BF123" s="144">
        <f t="shared" si="14"/>
        <v>7700</v>
      </c>
      <c r="BG123" s="144">
        <f t="shared" si="14"/>
        <v>7700</v>
      </c>
      <c r="BH123" s="144">
        <f t="shared" si="14"/>
        <v>9000</v>
      </c>
      <c r="BI123" s="144">
        <f t="shared" si="14"/>
        <v>5500</v>
      </c>
      <c r="BJ123" s="144">
        <f t="shared" si="14"/>
        <v>5500</v>
      </c>
      <c r="BK123" s="144">
        <f t="shared" si="14"/>
        <v>5500</v>
      </c>
      <c r="BL123" s="144">
        <f t="shared" si="14"/>
        <v>5500</v>
      </c>
      <c r="BM123" s="144">
        <f t="shared" si="14"/>
        <v>5500</v>
      </c>
      <c r="BN123" s="144">
        <f t="shared" si="14"/>
        <v>0</v>
      </c>
      <c r="BO123" s="144">
        <f t="shared" si="14"/>
        <v>0</v>
      </c>
      <c r="BP123" s="144"/>
      <c r="BQ123" s="144"/>
      <c r="BR123" s="144"/>
      <c r="BS123" s="144"/>
      <c r="BT123" s="144"/>
      <c r="BU123" s="144"/>
      <c r="BV123" s="144"/>
      <c r="BW123" s="144"/>
      <c r="BX123" s="144"/>
      <c r="BY123" s="144"/>
      <c r="BZ123" s="144">
        <f>SUBTOTAL(9,BZ103:BZ118)</f>
        <v>0</v>
      </c>
    </row>
    <row r="124" spans="2:78" s="121" customFormat="1" outlineLevel="2">
      <c r="B124" s="121" t="s">
        <v>471</v>
      </c>
      <c r="C124" s="107" t="s">
        <v>645</v>
      </c>
      <c r="F124" s="107" t="s">
        <v>89</v>
      </c>
      <c r="H124" s="122" t="s">
        <v>646</v>
      </c>
      <c r="I124" s="124"/>
      <c r="J124" s="124"/>
      <c r="K124" s="124" t="s">
        <v>647</v>
      </c>
      <c r="L124" s="124" t="s">
        <v>648</v>
      </c>
      <c r="M124" s="125" t="s">
        <v>183</v>
      </c>
      <c r="N124" s="126">
        <f>SUM(O124:BO124)</f>
        <v>3260</v>
      </c>
      <c r="O124" s="127">
        <v>1600</v>
      </c>
      <c r="P124" s="127"/>
      <c r="Q124" s="127"/>
      <c r="R124" s="127"/>
      <c r="S124" s="127"/>
      <c r="T124" s="127"/>
      <c r="U124" s="127"/>
      <c r="V124" s="127"/>
      <c r="W124" s="127"/>
      <c r="X124" s="127">
        <v>500</v>
      </c>
      <c r="Y124" s="127"/>
      <c r="Z124" s="127"/>
      <c r="AA124" s="127"/>
      <c r="AB124" s="127">
        <v>0</v>
      </c>
      <c r="AC124" s="127"/>
      <c r="AD124" s="127"/>
      <c r="AE124" s="127"/>
      <c r="AF124" s="127"/>
      <c r="AG124" s="127">
        <v>0</v>
      </c>
      <c r="AH124" s="127"/>
      <c r="AI124" s="127"/>
      <c r="AJ124" s="127"/>
      <c r="AK124" s="127">
        <v>0</v>
      </c>
      <c r="AL124" s="127"/>
      <c r="AM124" s="127"/>
      <c r="AN124" s="127"/>
      <c r="AO124" s="127">
        <v>0</v>
      </c>
      <c r="AP124" s="127"/>
      <c r="AQ124" s="127"/>
      <c r="AR124" s="127"/>
      <c r="AS124" s="127"/>
      <c r="AT124" s="127">
        <v>0</v>
      </c>
      <c r="AU124" s="127"/>
      <c r="AV124" s="127"/>
      <c r="AW124" s="127"/>
      <c r="AX124" s="127">
        <v>1160</v>
      </c>
      <c r="AY124" s="127"/>
      <c r="AZ124" s="127"/>
      <c r="BA124" s="127"/>
      <c r="BB124" s="127">
        <v>0</v>
      </c>
      <c r="BC124" s="127"/>
      <c r="BD124" s="127"/>
      <c r="BE124" s="127"/>
      <c r="BF124" s="127"/>
      <c r="BG124" s="127">
        <v>0</v>
      </c>
      <c r="BH124" s="127"/>
      <c r="BI124" s="127"/>
      <c r="BJ124" s="127"/>
      <c r="BK124" s="127">
        <v>0</v>
      </c>
      <c r="BL124" s="127"/>
      <c r="BM124" s="127"/>
      <c r="BN124" s="127"/>
      <c r="BO124" s="127"/>
      <c r="BP124" s="127" t="s">
        <v>649</v>
      </c>
      <c r="BQ124" s="127" t="s">
        <v>650</v>
      </c>
      <c r="BR124" s="127" t="s">
        <v>393</v>
      </c>
      <c r="BS124" s="127" t="s">
        <v>651</v>
      </c>
      <c r="BT124" s="127" t="s">
        <v>303</v>
      </c>
      <c r="BU124" s="127" t="s">
        <v>189</v>
      </c>
      <c r="BV124" s="127" t="s">
        <v>188</v>
      </c>
      <c r="BW124" s="127" t="s">
        <v>191</v>
      </c>
      <c r="BX124" s="127" t="s">
        <v>652</v>
      </c>
      <c r="BY124" s="127" t="s">
        <v>653</v>
      </c>
      <c r="BZ124" s="128" t="s">
        <v>654</v>
      </c>
    </row>
    <row r="125" spans="2:78" s="121" customFormat="1" outlineLevel="2">
      <c r="B125" s="121" t="s">
        <v>471</v>
      </c>
      <c r="C125" s="107" t="s">
        <v>645</v>
      </c>
      <c r="F125" s="107" t="s">
        <v>89</v>
      </c>
      <c r="G125" s="107" t="s">
        <v>199</v>
      </c>
      <c r="H125" s="122" t="s">
        <v>655</v>
      </c>
      <c r="I125" s="124"/>
      <c r="J125" s="124"/>
      <c r="K125" s="124" t="s">
        <v>656</v>
      </c>
      <c r="L125" s="124" t="s">
        <v>648</v>
      </c>
      <c r="M125" s="125" t="s">
        <v>183</v>
      </c>
      <c r="N125" s="126">
        <f>SUM(O125:BO125)</f>
        <v>400</v>
      </c>
      <c r="O125" s="127"/>
      <c r="P125" s="127"/>
      <c r="Q125" s="127"/>
      <c r="R125" s="130">
        <v>400</v>
      </c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  <c r="BM125" s="127"/>
      <c r="BN125" s="127"/>
      <c r="BO125" s="127"/>
      <c r="BP125" s="127"/>
      <c r="BQ125" s="127"/>
      <c r="BR125" s="127"/>
      <c r="BS125" s="127"/>
      <c r="BT125" s="127"/>
      <c r="BU125" s="127"/>
      <c r="BV125" s="127"/>
      <c r="BW125" s="127"/>
      <c r="BX125" s="127"/>
      <c r="BY125" s="127"/>
      <c r="BZ125" s="128"/>
    </row>
    <row r="126" spans="2:78" s="121" customFormat="1" outlineLevel="2">
      <c r="B126" s="121" t="s">
        <v>471</v>
      </c>
      <c r="C126" s="107" t="s">
        <v>645</v>
      </c>
      <c r="F126" s="107" t="s">
        <v>89</v>
      </c>
      <c r="G126" s="107" t="s">
        <v>199</v>
      </c>
      <c r="H126" s="122" t="s">
        <v>322</v>
      </c>
      <c r="I126" s="124"/>
      <c r="J126" s="124"/>
      <c r="K126" s="124" t="s">
        <v>657</v>
      </c>
      <c r="L126" s="124" t="s">
        <v>234</v>
      </c>
      <c r="M126" s="125" t="s">
        <v>183</v>
      </c>
      <c r="N126" s="126">
        <f>SUM(O126:BO126)</f>
        <v>100</v>
      </c>
      <c r="O126" s="127"/>
      <c r="P126" s="127"/>
      <c r="Q126" s="127"/>
      <c r="R126" s="130">
        <v>100</v>
      </c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7"/>
      <c r="BT126" s="127"/>
      <c r="BU126" s="127"/>
      <c r="BV126" s="127"/>
      <c r="BW126" s="127"/>
      <c r="BX126" s="127"/>
      <c r="BY126" s="127"/>
      <c r="BZ126" s="131"/>
    </row>
    <row r="127" spans="2:78" s="121" customFormat="1" outlineLevel="2">
      <c r="B127" s="121" t="s">
        <v>471</v>
      </c>
      <c r="C127" s="107" t="s">
        <v>645</v>
      </c>
      <c r="F127" s="107" t="s">
        <v>89</v>
      </c>
      <c r="G127" s="107" t="s">
        <v>199</v>
      </c>
      <c r="H127" s="122" t="s">
        <v>658</v>
      </c>
      <c r="I127" s="124"/>
      <c r="J127" s="124"/>
      <c r="K127" s="124" t="s">
        <v>659</v>
      </c>
      <c r="L127" s="124" t="s">
        <v>273</v>
      </c>
      <c r="M127" s="125" t="s">
        <v>183</v>
      </c>
      <c r="N127" s="126">
        <f>SUM(O127:BO127)</f>
        <v>50</v>
      </c>
      <c r="O127" s="127"/>
      <c r="P127" s="130">
        <v>50</v>
      </c>
      <c r="Q127" s="127"/>
      <c r="R127" s="127"/>
      <c r="S127" s="127"/>
      <c r="T127" s="127">
        <v>0</v>
      </c>
      <c r="U127" s="127"/>
      <c r="V127" s="127"/>
      <c r="W127" s="127"/>
      <c r="X127" s="127">
        <v>0</v>
      </c>
      <c r="Y127" s="127"/>
      <c r="Z127" s="127"/>
      <c r="AA127" s="127"/>
      <c r="AB127" s="127">
        <v>0</v>
      </c>
      <c r="AC127" s="127"/>
      <c r="AD127" s="127"/>
      <c r="AE127" s="127"/>
      <c r="AF127" s="127"/>
      <c r="AG127" s="127">
        <v>0</v>
      </c>
      <c r="AH127" s="127"/>
      <c r="AI127" s="127"/>
      <c r="AJ127" s="127"/>
      <c r="AK127" s="127">
        <v>0</v>
      </c>
      <c r="AL127" s="127"/>
      <c r="AM127" s="127"/>
      <c r="AN127" s="127"/>
      <c r="AO127" s="127">
        <v>0</v>
      </c>
      <c r="AP127" s="127"/>
      <c r="AQ127" s="127"/>
      <c r="AR127" s="127"/>
      <c r="AS127" s="127"/>
      <c r="AT127" s="127">
        <v>0</v>
      </c>
      <c r="AU127" s="127"/>
      <c r="AV127" s="127"/>
      <c r="AW127" s="127"/>
      <c r="AX127" s="127">
        <v>0</v>
      </c>
      <c r="AY127" s="127"/>
      <c r="AZ127" s="127"/>
      <c r="BA127" s="127"/>
      <c r="BB127" s="127">
        <v>0</v>
      </c>
      <c r="BC127" s="127"/>
      <c r="BD127" s="127"/>
      <c r="BE127" s="127"/>
      <c r="BF127" s="127"/>
      <c r="BG127" s="127">
        <v>0</v>
      </c>
      <c r="BH127" s="127"/>
      <c r="BI127" s="127"/>
      <c r="BJ127" s="127"/>
      <c r="BK127" s="127">
        <v>0</v>
      </c>
      <c r="BL127" s="127"/>
      <c r="BM127" s="127"/>
      <c r="BN127" s="127"/>
      <c r="BO127" s="127"/>
      <c r="BP127" s="127" t="s">
        <v>660</v>
      </c>
      <c r="BQ127" s="127" t="s">
        <v>661</v>
      </c>
      <c r="BR127" s="127" t="s">
        <v>662</v>
      </c>
      <c r="BS127" s="127" t="s">
        <v>663</v>
      </c>
      <c r="BT127" s="127" t="s">
        <v>188</v>
      </c>
      <c r="BU127" s="127" t="s">
        <v>189</v>
      </c>
      <c r="BV127" s="127" t="s">
        <v>205</v>
      </c>
      <c r="BW127" s="127" t="s">
        <v>343</v>
      </c>
      <c r="BX127" s="127" t="s">
        <v>305</v>
      </c>
      <c r="BY127" s="127" t="s">
        <v>378</v>
      </c>
      <c r="BZ127" s="131" t="s">
        <v>433</v>
      </c>
    </row>
    <row r="128" spans="2:78" s="121" customFormat="1" outlineLevel="2">
      <c r="B128" s="121" t="s">
        <v>471</v>
      </c>
      <c r="C128" s="107" t="s">
        <v>645</v>
      </c>
      <c r="F128" s="107" t="s">
        <v>89</v>
      </c>
      <c r="G128" s="107" t="s">
        <v>199</v>
      </c>
      <c r="H128" s="122" t="s">
        <v>664</v>
      </c>
      <c r="I128" s="124"/>
      <c r="J128" s="124"/>
      <c r="K128" s="124" t="s">
        <v>665</v>
      </c>
      <c r="L128" s="124" t="s">
        <v>666</v>
      </c>
      <c r="M128" s="125" t="s">
        <v>183</v>
      </c>
      <c r="N128" s="126">
        <f>SUM(O128:BO128)</f>
        <v>775</v>
      </c>
      <c r="O128" s="127">
        <v>0</v>
      </c>
      <c r="P128" s="127"/>
      <c r="Q128" s="127"/>
      <c r="R128" s="127"/>
      <c r="S128" s="127"/>
      <c r="T128" s="127">
        <v>0</v>
      </c>
      <c r="U128" s="127"/>
      <c r="V128" s="127"/>
      <c r="W128" s="127"/>
      <c r="X128" s="130">
        <v>590</v>
      </c>
      <c r="Y128" s="130">
        <v>185</v>
      </c>
      <c r="Z128" s="127"/>
      <c r="AA128" s="127"/>
      <c r="AB128" s="127"/>
      <c r="AC128" s="127"/>
      <c r="AD128" s="127"/>
      <c r="AE128" s="127"/>
      <c r="AF128" s="127"/>
      <c r="AG128" s="127">
        <v>0</v>
      </c>
      <c r="AH128" s="127"/>
      <c r="AI128" s="127"/>
      <c r="AJ128" s="127"/>
      <c r="AK128" s="127">
        <v>0</v>
      </c>
      <c r="AL128" s="127"/>
      <c r="AM128" s="127"/>
      <c r="AN128" s="127"/>
      <c r="AO128" s="127">
        <v>0</v>
      </c>
      <c r="AP128" s="127"/>
      <c r="AQ128" s="127"/>
      <c r="AR128" s="127"/>
      <c r="AS128" s="127"/>
      <c r="AT128" s="127">
        <v>0</v>
      </c>
      <c r="AU128" s="127"/>
      <c r="AV128" s="127"/>
      <c r="AW128" s="127"/>
      <c r="AX128" s="127">
        <v>0</v>
      </c>
      <c r="AY128" s="127"/>
      <c r="AZ128" s="127"/>
      <c r="BA128" s="127"/>
      <c r="BB128" s="127">
        <v>0</v>
      </c>
      <c r="BC128" s="127"/>
      <c r="BD128" s="127"/>
      <c r="BE128" s="127"/>
      <c r="BF128" s="127"/>
      <c r="BG128" s="127">
        <v>0</v>
      </c>
      <c r="BH128" s="127"/>
      <c r="BI128" s="127"/>
      <c r="BJ128" s="127"/>
      <c r="BK128" s="127">
        <v>0</v>
      </c>
      <c r="BL128" s="127"/>
      <c r="BM128" s="127"/>
      <c r="BN128" s="127"/>
      <c r="BO128" s="127"/>
      <c r="BP128" s="127" t="s">
        <v>667</v>
      </c>
      <c r="BQ128" s="127" t="s">
        <v>650</v>
      </c>
      <c r="BR128" s="127" t="s">
        <v>668</v>
      </c>
      <c r="BS128" s="127" t="s">
        <v>669</v>
      </c>
      <c r="BT128" s="127" t="s">
        <v>188</v>
      </c>
      <c r="BU128" s="127" t="s">
        <v>377</v>
      </c>
      <c r="BV128" s="127" t="s">
        <v>205</v>
      </c>
      <c r="BW128" s="127" t="s">
        <v>191</v>
      </c>
      <c r="BX128" s="127" t="s">
        <v>670</v>
      </c>
      <c r="BY128" s="127" t="s">
        <v>671</v>
      </c>
      <c r="BZ128" s="127" t="s">
        <v>672</v>
      </c>
    </row>
    <row r="129" spans="2:78" s="139" customFormat="1" outlineLevel="1">
      <c r="C129" s="140" t="s">
        <v>673</v>
      </c>
      <c r="H129" s="141"/>
      <c r="I129" s="141"/>
      <c r="J129" s="141"/>
      <c r="K129" s="141"/>
      <c r="L129" s="141"/>
      <c r="M129" s="142"/>
      <c r="N129" s="143">
        <f>SUBTOTAL(9,N124:N128)</f>
        <v>4585</v>
      </c>
      <c r="O129" s="144">
        <f>SUBTOTAL(9,O124)</f>
        <v>1600</v>
      </c>
      <c r="P129" s="144">
        <f t="shared" ref="P129:BO129" si="15">SUBTOTAL(9,P124)</f>
        <v>0</v>
      </c>
      <c r="Q129" s="144">
        <f t="shared" si="15"/>
        <v>0</v>
      </c>
      <c r="R129" s="144">
        <f t="shared" si="15"/>
        <v>0</v>
      </c>
      <c r="S129" s="144">
        <f t="shared" si="15"/>
        <v>0</v>
      </c>
      <c r="T129" s="144">
        <f t="shared" si="15"/>
        <v>0</v>
      </c>
      <c r="U129" s="144">
        <f t="shared" si="15"/>
        <v>0</v>
      </c>
      <c r="V129" s="144">
        <f t="shared" si="15"/>
        <v>0</v>
      </c>
      <c r="W129" s="144">
        <f t="shared" si="15"/>
        <v>0</v>
      </c>
      <c r="X129" s="144">
        <f t="shared" si="15"/>
        <v>500</v>
      </c>
      <c r="Y129" s="144">
        <f t="shared" si="15"/>
        <v>0</v>
      </c>
      <c r="Z129" s="144">
        <f t="shared" si="15"/>
        <v>0</v>
      </c>
      <c r="AA129" s="144">
        <f t="shared" si="15"/>
        <v>0</v>
      </c>
      <c r="AB129" s="144">
        <f t="shared" si="15"/>
        <v>0</v>
      </c>
      <c r="AC129" s="144">
        <f t="shared" si="15"/>
        <v>0</v>
      </c>
      <c r="AD129" s="144">
        <f t="shared" si="15"/>
        <v>0</v>
      </c>
      <c r="AE129" s="144">
        <f t="shared" si="15"/>
        <v>0</v>
      </c>
      <c r="AF129" s="144">
        <f t="shared" si="15"/>
        <v>0</v>
      </c>
      <c r="AG129" s="144">
        <f t="shared" si="15"/>
        <v>0</v>
      </c>
      <c r="AH129" s="144">
        <f t="shared" si="15"/>
        <v>0</v>
      </c>
      <c r="AI129" s="144">
        <f t="shared" si="15"/>
        <v>0</v>
      </c>
      <c r="AJ129" s="144">
        <f t="shared" si="15"/>
        <v>0</v>
      </c>
      <c r="AK129" s="144">
        <f t="shared" si="15"/>
        <v>0</v>
      </c>
      <c r="AL129" s="144">
        <f t="shared" si="15"/>
        <v>0</v>
      </c>
      <c r="AM129" s="144">
        <f t="shared" si="15"/>
        <v>0</v>
      </c>
      <c r="AN129" s="144">
        <f t="shared" si="15"/>
        <v>0</v>
      </c>
      <c r="AO129" s="144">
        <f t="shared" si="15"/>
        <v>0</v>
      </c>
      <c r="AP129" s="144">
        <f t="shared" si="15"/>
        <v>0</v>
      </c>
      <c r="AQ129" s="144">
        <f t="shared" si="15"/>
        <v>0</v>
      </c>
      <c r="AR129" s="144">
        <f t="shared" si="15"/>
        <v>0</v>
      </c>
      <c r="AS129" s="144">
        <f t="shared" si="15"/>
        <v>0</v>
      </c>
      <c r="AT129" s="144">
        <f t="shared" si="15"/>
        <v>0</v>
      </c>
      <c r="AU129" s="144">
        <f t="shared" si="15"/>
        <v>0</v>
      </c>
      <c r="AV129" s="144">
        <f t="shared" si="15"/>
        <v>0</v>
      </c>
      <c r="AW129" s="144">
        <f t="shared" si="15"/>
        <v>0</v>
      </c>
      <c r="AX129" s="144">
        <f t="shared" si="15"/>
        <v>1160</v>
      </c>
      <c r="AY129" s="144">
        <f t="shared" si="15"/>
        <v>0</v>
      </c>
      <c r="AZ129" s="144">
        <f t="shared" si="15"/>
        <v>0</v>
      </c>
      <c r="BA129" s="144">
        <f t="shared" si="15"/>
        <v>0</v>
      </c>
      <c r="BB129" s="144">
        <f t="shared" si="15"/>
        <v>0</v>
      </c>
      <c r="BC129" s="144">
        <f t="shared" si="15"/>
        <v>0</v>
      </c>
      <c r="BD129" s="144">
        <f t="shared" si="15"/>
        <v>0</v>
      </c>
      <c r="BE129" s="144">
        <f t="shared" si="15"/>
        <v>0</v>
      </c>
      <c r="BF129" s="144">
        <f t="shared" si="15"/>
        <v>0</v>
      </c>
      <c r="BG129" s="144">
        <f t="shared" si="15"/>
        <v>0</v>
      </c>
      <c r="BH129" s="144">
        <f t="shared" si="15"/>
        <v>0</v>
      </c>
      <c r="BI129" s="144">
        <f t="shared" si="15"/>
        <v>0</v>
      </c>
      <c r="BJ129" s="144">
        <f t="shared" si="15"/>
        <v>0</v>
      </c>
      <c r="BK129" s="144">
        <f t="shared" si="15"/>
        <v>0</v>
      </c>
      <c r="BL129" s="144">
        <f t="shared" si="15"/>
        <v>0</v>
      </c>
      <c r="BM129" s="144">
        <f t="shared" si="15"/>
        <v>0</v>
      </c>
      <c r="BN129" s="144">
        <f t="shared" si="15"/>
        <v>0</v>
      </c>
      <c r="BO129" s="144">
        <f t="shared" si="15"/>
        <v>0</v>
      </c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144"/>
      <c r="BZ129" s="144">
        <f>SUBTOTAL(9,BZ111:BZ113)</f>
        <v>0</v>
      </c>
    </row>
    <row r="130" spans="2:78" s="121" customFormat="1" outlineLevel="2">
      <c r="B130" s="121" t="s">
        <v>471</v>
      </c>
      <c r="C130" s="121" t="s">
        <v>674</v>
      </c>
      <c r="D130" s="107" t="s">
        <v>195</v>
      </c>
      <c r="F130" s="107" t="s">
        <v>88</v>
      </c>
      <c r="G130" s="107" t="s">
        <v>199</v>
      </c>
      <c r="H130" s="122" t="s">
        <v>675</v>
      </c>
      <c r="I130" s="124"/>
      <c r="J130" s="124"/>
      <c r="K130" s="124" t="s">
        <v>676</v>
      </c>
      <c r="L130" s="124" t="s">
        <v>648</v>
      </c>
      <c r="M130" s="125" t="s">
        <v>183</v>
      </c>
      <c r="N130" s="126">
        <f t="shared" ref="N130:N168" si="16">SUM(O130:BO130)</f>
        <v>1200</v>
      </c>
      <c r="O130" s="127"/>
      <c r="P130" s="127"/>
      <c r="Q130" s="127"/>
      <c r="R130" s="127"/>
      <c r="S130" s="127"/>
      <c r="T130" s="127">
        <v>0</v>
      </c>
      <c r="U130" s="127"/>
      <c r="V130" s="127"/>
      <c r="W130" s="127"/>
      <c r="X130" s="127">
        <v>0</v>
      </c>
      <c r="Y130" s="127"/>
      <c r="Z130" s="127"/>
      <c r="AA130" s="127"/>
      <c r="AB130" s="127">
        <v>0</v>
      </c>
      <c r="AC130" s="127"/>
      <c r="AD130" s="127"/>
      <c r="AE130" s="127"/>
      <c r="AF130" s="127"/>
      <c r="AG130" s="127">
        <v>0</v>
      </c>
      <c r="AH130" s="127"/>
      <c r="AI130" s="127"/>
      <c r="AJ130" s="127"/>
      <c r="AK130" s="127">
        <v>0</v>
      </c>
      <c r="AL130" s="127"/>
      <c r="AM130" s="127"/>
      <c r="AN130" s="127"/>
      <c r="AO130" s="127">
        <v>0</v>
      </c>
      <c r="AP130" s="127"/>
      <c r="AQ130" s="127"/>
      <c r="AR130" s="127"/>
      <c r="AS130" s="127"/>
      <c r="AT130" s="127">
        <v>0</v>
      </c>
      <c r="AU130" s="127"/>
      <c r="AV130" s="127"/>
      <c r="AW130" s="127"/>
      <c r="AX130" s="127">
        <v>0</v>
      </c>
      <c r="AY130" s="127"/>
      <c r="AZ130" s="127"/>
      <c r="BA130" s="127"/>
      <c r="BB130" s="127">
        <v>0</v>
      </c>
      <c r="BC130" s="127"/>
      <c r="BD130" s="127"/>
      <c r="BE130" s="127"/>
      <c r="BF130" s="127"/>
      <c r="BG130" s="127">
        <v>0</v>
      </c>
      <c r="BH130" s="127"/>
      <c r="BI130" s="130">
        <v>1200</v>
      </c>
      <c r="BJ130" s="127"/>
      <c r="BK130" s="127">
        <v>0</v>
      </c>
      <c r="BL130" s="127"/>
      <c r="BM130" s="127"/>
      <c r="BN130" s="127"/>
      <c r="BO130" s="127"/>
      <c r="BP130" s="127" t="s">
        <v>677</v>
      </c>
      <c r="BQ130" s="127" t="s">
        <v>650</v>
      </c>
      <c r="BR130" s="127" t="s">
        <v>678</v>
      </c>
      <c r="BS130" s="127" t="s">
        <v>679</v>
      </c>
      <c r="BT130" s="127" t="s">
        <v>188</v>
      </c>
      <c r="BU130" s="127" t="s">
        <v>189</v>
      </c>
      <c r="BV130" s="127" t="s">
        <v>229</v>
      </c>
      <c r="BW130" s="127" t="s">
        <v>343</v>
      </c>
      <c r="BX130" s="127" t="s">
        <v>189</v>
      </c>
      <c r="BY130" s="127" t="s">
        <v>189</v>
      </c>
      <c r="BZ130" s="127" t="s">
        <v>680</v>
      </c>
    </row>
    <row r="131" spans="2:78" s="121" customFormat="1" outlineLevel="2">
      <c r="B131" s="121" t="s">
        <v>471</v>
      </c>
      <c r="C131" s="121" t="s">
        <v>674</v>
      </c>
      <c r="D131" s="107" t="s">
        <v>195</v>
      </c>
      <c r="F131" s="107" t="s">
        <v>88</v>
      </c>
      <c r="H131" s="124" t="s">
        <v>681</v>
      </c>
      <c r="I131" s="124"/>
      <c r="J131" s="124"/>
      <c r="K131" s="124" t="s">
        <v>572</v>
      </c>
      <c r="L131" s="124" t="s">
        <v>491</v>
      </c>
      <c r="M131" s="125" t="s">
        <v>183</v>
      </c>
      <c r="N131" s="126">
        <f t="shared" si="16"/>
        <v>11539</v>
      </c>
      <c r="O131" s="127">
        <v>0</v>
      </c>
      <c r="P131" s="127"/>
      <c r="Q131" s="127"/>
      <c r="R131" s="127"/>
      <c r="S131" s="127"/>
      <c r="T131" s="127">
        <v>0</v>
      </c>
      <c r="U131" s="127"/>
      <c r="V131" s="127"/>
      <c r="W131" s="127"/>
      <c r="X131" s="127">
        <v>0</v>
      </c>
      <c r="Y131" s="127"/>
      <c r="Z131" s="127"/>
      <c r="AA131" s="127"/>
      <c r="AB131" s="127">
        <v>0</v>
      </c>
      <c r="AC131" s="127"/>
      <c r="AD131" s="127"/>
      <c r="AE131" s="127"/>
      <c r="AF131" s="127"/>
      <c r="AG131" s="127">
        <v>0</v>
      </c>
      <c r="AH131" s="127"/>
      <c r="AI131" s="127"/>
      <c r="AJ131" s="127"/>
      <c r="AK131" s="127">
        <v>0</v>
      </c>
      <c r="AL131" s="127"/>
      <c r="AM131" s="127"/>
      <c r="AN131" s="127"/>
      <c r="AO131" s="127">
        <v>0</v>
      </c>
      <c r="AP131" s="127"/>
      <c r="AQ131" s="127"/>
      <c r="AR131" s="127"/>
      <c r="AS131" s="127"/>
      <c r="AT131" s="127">
        <v>0</v>
      </c>
      <c r="AU131" s="127"/>
      <c r="AV131" s="127"/>
      <c r="AW131" s="127"/>
      <c r="AX131" s="127">
        <v>0</v>
      </c>
      <c r="AY131" s="127"/>
      <c r="AZ131" s="127"/>
      <c r="BA131" s="127"/>
      <c r="BB131" s="154">
        <v>11539</v>
      </c>
      <c r="BC131" s="127"/>
      <c r="BD131" s="127"/>
      <c r="BE131" s="127"/>
      <c r="BF131" s="127"/>
      <c r="BG131" s="127">
        <v>0</v>
      </c>
      <c r="BH131" s="127"/>
      <c r="BI131" s="127"/>
      <c r="BJ131" s="127"/>
      <c r="BK131" s="127">
        <v>0</v>
      </c>
      <c r="BL131" s="127"/>
      <c r="BM131" s="127"/>
      <c r="BN131" s="127"/>
      <c r="BO131" s="127"/>
      <c r="BP131" s="127" t="s">
        <v>682</v>
      </c>
      <c r="BQ131" s="127" t="s">
        <v>574</v>
      </c>
      <c r="BR131" s="127" t="s">
        <v>683</v>
      </c>
      <c r="BS131" s="127" t="s">
        <v>684</v>
      </c>
      <c r="BT131" s="127" t="s">
        <v>188</v>
      </c>
      <c r="BU131" s="127" t="s">
        <v>189</v>
      </c>
      <c r="BV131" s="127" t="s">
        <v>229</v>
      </c>
      <c r="BW131" s="127" t="s">
        <v>191</v>
      </c>
      <c r="BX131" s="127" t="s">
        <v>577</v>
      </c>
      <c r="BY131" s="127" t="s">
        <v>189</v>
      </c>
      <c r="BZ131" s="127" t="s">
        <v>569</v>
      </c>
    </row>
    <row r="132" spans="2:78" s="121" customFormat="1" outlineLevel="2">
      <c r="B132" s="121" t="s">
        <v>471</v>
      </c>
      <c r="C132" s="121" t="s">
        <v>674</v>
      </c>
      <c r="D132" s="107" t="s">
        <v>195</v>
      </c>
      <c r="F132" s="107" t="s">
        <v>88</v>
      </c>
      <c r="G132" s="107" t="s">
        <v>199</v>
      </c>
      <c r="H132" s="122" t="s">
        <v>685</v>
      </c>
      <c r="I132" s="124" t="s">
        <v>296</v>
      </c>
      <c r="J132" s="124"/>
      <c r="K132" s="124" t="s">
        <v>686</v>
      </c>
      <c r="L132" s="124" t="s">
        <v>687</v>
      </c>
      <c r="M132" s="125" t="s">
        <v>183</v>
      </c>
      <c r="N132" s="126">
        <f>SUM(O132:BO132)</f>
        <v>25500</v>
      </c>
      <c r="O132" s="127">
        <v>1100</v>
      </c>
      <c r="P132" s="127">
        <v>2200</v>
      </c>
      <c r="Q132" s="127">
        <v>2200</v>
      </c>
      <c r="R132" s="127">
        <v>2200</v>
      </c>
      <c r="S132" s="127">
        <v>2200</v>
      </c>
      <c r="T132" s="127">
        <v>1200</v>
      </c>
      <c r="U132" s="127">
        <v>1200</v>
      </c>
      <c r="V132" s="127">
        <v>2200</v>
      </c>
      <c r="W132" s="127">
        <v>2200</v>
      </c>
      <c r="X132" s="127">
        <v>2200</v>
      </c>
      <c r="Y132" s="127">
        <v>2200</v>
      </c>
      <c r="Z132" s="127">
        <v>2200</v>
      </c>
      <c r="AA132" s="127">
        <v>2200</v>
      </c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>
        <v>0</v>
      </c>
      <c r="AP132" s="127"/>
      <c r="AQ132" s="127"/>
      <c r="AR132" s="127"/>
      <c r="AS132" s="127"/>
      <c r="AT132" s="127">
        <v>0</v>
      </c>
      <c r="AU132" s="127"/>
      <c r="AV132" s="127"/>
      <c r="AW132" s="127"/>
      <c r="AX132" s="127">
        <v>0</v>
      </c>
      <c r="AY132" s="127"/>
      <c r="AZ132" s="127"/>
      <c r="BA132" s="127"/>
      <c r="BB132" s="127">
        <v>0</v>
      </c>
      <c r="BC132" s="127"/>
      <c r="BD132" s="127"/>
      <c r="BE132" s="127"/>
      <c r="BF132" s="127"/>
      <c r="BG132" s="127">
        <v>0</v>
      </c>
      <c r="BH132" s="127"/>
      <c r="BI132" s="127"/>
      <c r="BJ132" s="127"/>
      <c r="BK132" s="127">
        <v>0</v>
      </c>
      <c r="BL132" s="127"/>
      <c r="BM132" s="127"/>
      <c r="BN132" s="127"/>
      <c r="BO132" s="127"/>
      <c r="BP132" s="127" t="s">
        <v>688</v>
      </c>
      <c r="BQ132" s="127" t="s">
        <v>650</v>
      </c>
      <c r="BR132" s="127" t="s">
        <v>689</v>
      </c>
      <c r="BS132" s="127" t="s">
        <v>690</v>
      </c>
      <c r="BT132" s="127" t="s">
        <v>188</v>
      </c>
      <c r="BU132" s="127" t="s">
        <v>189</v>
      </c>
      <c r="BV132" s="127" t="s">
        <v>229</v>
      </c>
      <c r="BW132" s="127" t="s">
        <v>191</v>
      </c>
      <c r="BX132" s="127" t="s">
        <v>691</v>
      </c>
      <c r="BY132" s="127" t="s">
        <v>692</v>
      </c>
      <c r="BZ132" s="131" t="s">
        <v>693</v>
      </c>
    </row>
    <row r="133" spans="2:78" s="121" customFormat="1" outlineLevel="2">
      <c r="B133" s="121" t="s">
        <v>471</v>
      </c>
      <c r="C133" s="121" t="s">
        <v>674</v>
      </c>
      <c r="D133" s="107" t="s">
        <v>195</v>
      </c>
      <c r="F133" s="107" t="s">
        <v>88</v>
      </c>
      <c r="H133" s="124" t="s">
        <v>694</v>
      </c>
      <c r="I133" s="124" t="s">
        <v>695</v>
      </c>
      <c r="J133" s="124"/>
      <c r="K133" s="124" t="s">
        <v>696</v>
      </c>
      <c r="L133" s="124" t="s">
        <v>697</v>
      </c>
      <c r="M133" s="125" t="s">
        <v>183</v>
      </c>
      <c r="N133" s="126">
        <f t="shared" si="16"/>
        <v>2500</v>
      </c>
      <c r="O133" s="127">
        <v>0</v>
      </c>
      <c r="P133" s="127"/>
      <c r="Q133" s="127"/>
      <c r="R133" s="127"/>
      <c r="S133" s="127"/>
      <c r="T133" s="127">
        <v>0</v>
      </c>
      <c r="U133" s="127"/>
      <c r="V133" s="127"/>
      <c r="W133" s="127"/>
      <c r="X133" s="127">
        <v>0</v>
      </c>
      <c r="Y133" s="127"/>
      <c r="Z133" s="127"/>
      <c r="AA133" s="127"/>
      <c r="AB133" s="127">
        <v>0</v>
      </c>
      <c r="AC133" s="127"/>
      <c r="AD133" s="127"/>
      <c r="AE133" s="127"/>
      <c r="AF133" s="127"/>
      <c r="AG133" s="127">
        <v>0</v>
      </c>
      <c r="AH133" s="127"/>
      <c r="AI133" s="127"/>
      <c r="AJ133" s="127"/>
      <c r="AK133" s="127">
        <v>0</v>
      </c>
      <c r="AL133" s="127"/>
      <c r="AM133" s="127"/>
      <c r="AN133" s="127"/>
      <c r="AO133" s="127">
        <v>0</v>
      </c>
      <c r="AP133" s="127"/>
      <c r="AQ133" s="127"/>
      <c r="AR133" s="127"/>
      <c r="AS133" s="127"/>
      <c r="AT133" s="127">
        <v>2500</v>
      </c>
      <c r="AU133" s="127"/>
      <c r="AV133" s="127"/>
      <c r="AW133" s="127"/>
      <c r="AX133" s="127">
        <v>0</v>
      </c>
      <c r="AY133" s="127"/>
      <c r="AZ133" s="127"/>
      <c r="BA133" s="127"/>
      <c r="BB133" s="127">
        <v>0</v>
      </c>
      <c r="BC133" s="127"/>
      <c r="BD133" s="127"/>
      <c r="BE133" s="127"/>
      <c r="BF133" s="127"/>
      <c r="BG133" s="127">
        <v>0</v>
      </c>
      <c r="BH133" s="127"/>
      <c r="BI133" s="127"/>
      <c r="BJ133" s="127"/>
      <c r="BK133" s="127">
        <v>0</v>
      </c>
      <c r="BL133" s="127"/>
      <c r="BM133" s="127"/>
      <c r="BN133" s="127"/>
      <c r="BO133" s="127"/>
      <c r="BP133" s="127" t="s">
        <v>698</v>
      </c>
      <c r="BQ133" s="127" t="s">
        <v>699</v>
      </c>
      <c r="BR133" s="127" t="s">
        <v>700</v>
      </c>
      <c r="BS133" s="127" t="s">
        <v>701</v>
      </c>
      <c r="BT133" s="127" t="s">
        <v>188</v>
      </c>
      <c r="BU133" s="127" t="s">
        <v>189</v>
      </c>
      <c r="BV133" s="127" t="s">
        <v>229</v>
      </c>
      <c r="BW133" s="127" t="s">
        <v>343</v>
      </c>
      <c r="BX133" s="127" t="s">
        <v>702</v>
      </c>
      <c r="BY133" s="127" t="s">
        <v>189</v>
      </c>
      <c r="BZ133" s="127" t="s">
        <v>703</v>
      </c>
    </row>
    <row r="134" spans="2:78" s="121" customFormat="1" outlineLevel="2">
      <c r="B134" s="121" t="s">
        <v>471</v>
      </c>
      <c r="C134" s="121" t="s">
        <v>674</v>
      </c>
      <c r="D134" s="107" t="s">
        <v>195</v>
      </c>
      <c r="F134" s="107" t="s">
        <v>88</v>
      </c>
      <c r="H134" s="122" t="s">
        <v>704</v>
      </c>
      <c r="I134" s="124" t="s">
        <v>695</v>
      </c>
      <c r="J134" s="124"/>
      <c r="K134" s="124" t="s">
        <v>705</v>
      </c>
      <c r="L134" s="124" t="s">
        <v>697</v>
      </c>
      <c r="M134" s="125" t="s">
        <v>183</v>
      </c>
      <c r="N134" s="126">
        <f t="shared" si="16"/>
        <v>5400</v>
      </c>
      <c r="O134" s="127"/>
      <c r="P134" s="127"/>
      <c r="Q134" s="130">
        <v>1200</v>
      </c>
      <c r="R134" s="127"/>
      <c r="S134" s="127"/>
      <c r="T134" s="127">
        <v>0</v>
      </c>
      <c r="U134" s="127"/>
      <c r="V134" s="127"/>
      <c r="W134" s="127"/>
      <c r="X134" s="127">
        <v>0</v>
      </c>
      <c r="Y134" s="127"/>
      <c r="Z134" s="127"/>
      <c r="AA134" s="127"/>
      <c r="AB134" s="127">
        <v>0</v>
      </c>
      <c r="AC134" s="127"/>
      <c r="AD134" s="127"/>
      <c r="AE134" s="127"/>
      <c r="AF134" s="127"/>
      <c r="AG134" s="127">
        <v>0</v>
      </c>
      <c r="AH134" s="127"/>
      <c r="AI134" s="127"/>
      <c r="AJ134" s="127"/>
      <c r="AK134" s="127">
        <v>0</v>
      </c>
      <c r="AL134" s="127"/>
      <c r="AM134" s="127"/>
      <c r="AN134" s="127"/>
      <c r="AO134" s="127">
        <v>0</v>
      </c>
      <c r="AP134" s="127"/>
      <c r="AQ134" s="127"/>
      <c r="AR134" s="127"/>
      <c r="AS134" s="127"/>
      <c r="AT134" s="127">
        <v>0</v>
      </c>
      <c r="AU134" s="127"/>
      <c r="AV134" s="127"/>
      <c r="AW134" s="127"/>
      <c r="AX134" s="127">
        <v>0</v>
      </c>
      <c r="AY134" s="127"/>
      <c r="AZ134" s="127"/>
      <c r="BA134" s="127"/>
      <c r="BB134" s="127">
        <v>1200</v>
      </c>
      <c r="BC134" s="127">
        <v>1000</v>
      </c>
      <c r="BD134" s="127">
        <v>1000</v>
      </c>
      <c r="BE134" s="127">
        <v>1000</v>
      </c>
      <c r="BF134" s="127"/>
      <c r="BG134" s="127">
        <v>0</v>
      </c>
      <c r="BH134" s="127"/>
      <c r="BI134" s="127"/>
      <c r="BJ134" s="127"/>
      <c r="BK134" s="127">
        <v>0</v>
      </c>
      <c r="BL134" s="127"/>
      <c r="BM134" s="127"/>
      <c r="BN134" s="127"/>
      <c r="BO134" s="127"/>
      <c r="BP134" s="127" t="s">
        <v>706</v>
      </c>
      <c r="BQ134" s="127" t="s">
        <v>588</v>
      </c>
      <c r="BR134" s="127" t="s">
        <v>707</v>
      </c>
      <c r="BS134" s="127" t="s">
        <v>708</v>
      </c>
      <c r="BT134" s="127" t="s">
        <v>188</v>
      </c>
      <c r="BU134" s="127" t="s">
        <v>189</v>
      </c>
      <c r="BV134" s="127" t="s">
        <v>229</v>
      </c>
      <c r="BW134" s="127" t="s">
        <v>343</v>
      </c>
      <c r="BX134" s="127" t="s">
        <v>189</v>
      </c>
      <c r="BY134" s="127" t="s">
        <v>189</v>
      </c>
      <c r="BZ134" s="127" t="s">
        <v>703</v>
      </c>
    </row>
    <row r="135" spans="2:78" s="121" customFormat="1" outlineLevel="2">
      <c r="B135" s="121" t="s">
        <v>471</v>
      </c>
      <c r="C135" s="121" t="s">
        <v>674</v>
      </c>
      <c r="D135" s="107" t="s">
        <v>195</v>
      </c>
      <c r="F135" s="107" t="s">
        <v>88</v>
      </c>
      <c r="H135" s="124" t="s">
        <v>709</v>
      </c>
      <c r="I135" s="124" t="s">
        <v>695</v>
      </c>
      <c r="J135" s="124"/>
      <c r="K135" s="124" t="s">
        <v>710</v>
      </c>
      <c r="L135" s="124" t="s">
        <v>697</v>
      </c>
      <c r="M135" s="125" t="s">
        <v>183</v>
      </c>
      <c r="N135" s="126">
        <f t="shared" si="16"/>
        <v>7000</v>
      </c>
      <c r="O135" s="127">
        <v>0</v>
      </c>
      <c r="P135" s="127"/>
      <c r="Q135" s="127"/>
      <c r="R135" s="127"/>
      <c r="S135" s="127"/>
      <c r="T135" s="127">
        <v>0</v>
      </c>
      <c r="U135" s="127"/>
      <c r="V135" s="127"/>
      <c r="W135" s="127"/>
      <c r="X135" s="127">
        <v>0</v>
      </c>
      <c r="Y135" s="127"/>
      <c r="Z135" s="127"/>
      <c r="AA135" s="127"/>
      <c r="AB135" s="127">
        <v>0</v>
      </c>
      <c r="AC135" s="127"/>
      <c r="AD135" s="127"/>
      <c r="AE135" s="127"/>
      <c r="AF135" s="127"/>
      <c r="AG135" s="127">
        <v>0</v>
      </c>
      <c r="AH135" s="127"/>
      <c r="AI135" s="127"/>
      <c r="AJ135" s="127"/>
      <c r="AK135" s="127">
        <v>0</v>
      </c>
      <c r="AL135" s="127"/>
      <c r="AM135" s="127"/>
      <c r="AN135" s="127"/>
      <c r="AO135" s="127">
        <v>7000</v>
      </c>
      <c r="AP135" s="127"/>
      <c r="AQ135" s="127"/>
      <c r="AR135" s="127"/>
      <c r="AS135" s="127"/>
      <c r="AT135" s="127">
        <v>0</v>
      </c>
      <c r="AU135" s="127"/>
      <c r="AV135" s="127"/>
      <c r="AW135" s="127"/>
      <c r="AX135" s="127">
        <v>0</v>
      </c>
      <c r="AY135" s="127"/>
      <c r="AZ135" s="127"/>
      <c r="BA135" s="127"/>
      <c r="BB135" s="127">
        <v>0</v>
      </c>
      <c r="BC135" s="127"/>
      <c r="BD135" s="127"/>
      <c r="BE135" s="127"/>
      <c r="BF135" s="127"/>
      <c r="BG135" s="127">
        <v>0</v>
      </c>
      <c r="BH135" s="127"/>
      <c r="BI135" s="127"/>
      <c r="BJ135" s="127"/>
      <c r="BK135" s="127">
        <v>0</v>
      </c>
      <c r="BL135" s="127"/>
      <c r="BM135" s="127"/>
      <c r="BN135" s="127"/>
      <c r="BO135" s="127"/>
      <c r="BP135" s="127" t="s">
        <v>711</v>
      </c>
      <c r="BQ135" s="127" t="s">
        <v>605</v>
      </c>
      <c r="BR135" s="127" t="s">
        <v>712</v>
      </c>
      <c r="BS135" s="127" t="s">
        <v>713</v>
      </c>
      <c r="BT135" s="127" t="s">
        <v>239</v>
      </c>
      <c r="BU135" s="127" t="s">
        <v>189</v>
      </c>
      <c r="BV135" s="127" t="s">
        <v>229</v>
      </c>
      <c r="BW135" s="127" t="s">
        <v>191</v>
      </c>
      <c r="BX135" s="127" t="s">
        <v>355</v>
      </c>
      <c r="BY135" s="127" t="s">
        <v>714</v>
      </c>
      <c r="BZ135" s="127" t="s">
        <v>703</v>
      </c>
    </row>
    <row r="136" spans="2:78" s="121" customFormat="1" outlineLevel="2">
      <c r="B136" s="121" t="s">
        <v>471</v>
      </c>
      <c r="C136" s="121" t="s">
        <v>674</v>
      </c>
      <c r="D136" s="107" t="s">
        <v>195</v>
      </c>
      <c r="F136" s="107" t="s">
        <v>88</v>
      </c>
      <c r="H136" s="124" t="s">
        <v>715</v>
      </c>
      <c r="I136" s="124"/>
      <c r="J136" s="124"/>
      <c r="K136" s="124" t="s">
        <v>716</v>
      </c>
      <c r="L136" s="124" t="s">
        <v>697</v>
      </c>
      <c r="M136" s="125" t="s">
        <v>183</v>
      </c>
      <c r="N136" s="126">
        <f t="shared" si="16"/>
        <v>2600</v>
      </c>
      <c r="O136" s="127">
        <v>0</v>
      </c>
      <c r="P136" s="127"/>
      <c r="Q136" s="127"/>
      <c r="R136" s="127"/>
      <c r="S136" s="127"/>
      <c r="T136" s="127">
        <v>0</v>
      </c>
      <c r="U136" s="127"/>
      <c r="V136" s="127"/>
      <c r="W136" s="127"/>
      <c r="X136" s="127">
        <v>0</v>
      </c>
      <c r="Y136" s="127"/>
      <c r="Z136" s="127"/>
      <c r="AA136" s="127"/>
      <c r="AB136" s="127">
        <v>0</v>
      </c>
      <c r="AC136" s="127"/>
      <c r="AD136" s="127"/>
      <c r="AE136" s="127"/>
      <c r="AF136" s="127"/>
      <c r="AG136" s="127">
        <v>0</v>
      </c>
      <c r="AH136" s="127"/>
      <c r="AI136" s="127"/>
      <c r="AJ136" s="127"/>
      <c r="AK136" s="127">
        <v>2600</v>
      </c>
      <c r="AL136" s="127"/>
      <c r="AM136" s="127"/>
      <c r="AN136" s="127"/>
      <c r="AO136" s="127">
        <v>0</v>
      </c>
      <c r="AP136" s="127"/>
      <c r="AQ136" s="127"/>
      <c r="AR136" s="127"/>
      <c r="AS136" s="127"/>
      <c r="AT136" s="127">
        <v>0</v>
      </c>
      <c r="AU136" s="127"/>
      <c r="AV136" s="127"/>
      <c r="AW136" s="127"/>
      <c r="AX136" s="127">
        <v>0</v>
      </c>
      <c r="AY136" s="127"/>
      <c r="AZ136" s="127"/>
      <c r="BA136" s="127"/>
      <c r="BB136" s="127">
        <v>0</v>
      </c>
      <c r="BC136" s="127"/>
      <c r="BD136" s="127"/>
      <c r="BE136" s="127"/>
      <c r="BF136" s="127"/>
      <c r="BG136" s="127">
        <v>0</v>
      </c>
      <c r="BH136" s="127"/>
      <c r="BI136" s="127"/>
      <c r="BJ136" s="127"/>
      <c r="BK136" s="127">
        <v>0</v>
      </c>
      <c r="BL136" s="127"/>
      <c r="BM136" s="127"/>
      <c r="BN136" s="127"/>
      <c r="BO136" s="127"/>
      <c r="BP136" s="127" t="s">
        <v>717</v>
      </c>
      <c r="BQ136" s="127" t="s">
        <v>588</v>
      </c>
      <c r="BR136" s="127" t="s">
        <v>718</v>
      </c>
      <c r="BS136" s="127" t="s">
        <v>719</v>
      </c>
      <c r="BT136" s="127" t="s">
        <v>188</v>
      </c>
      <c r="BU136" s="127" t="s">
        <v>189</v>
      </c>
      <c r="BV136" s="127" t="s">
        <v>229</v>
      </c>
      <c r="BW136" s="127" t="s">
        <v>343</v>
      </c>
      <c r="BX136" s="127" t="s">
        <v>720</v>
      </c>
      <c r="BY136" s="127" t="s">
        <v>189</v>
      </c>
      <c r="BZ136" s="127" t="s">
        <v>721</v>
      </c>
    </row>
    <row r="137" spans="2:78" s="121" customFormat="1" outlineLevel="2">
      <c r="B137" s="121" t="s">
        <v>471</v>
      </c>
      <c r="C137" s="121" t="s">
        <v>674</v>
      </c>
      <c r="D137" s="107" t="s">
        <v>195</v>
      </c>
      <c r="F137" s="107" t="s">
        <v>88</v>
      </c>
      <c r="H137" s="124" t="s">
        <v>722</v>
      </c>
      <c r="I137" s="124" t="s">
        <v>695</v>
      </c>
      <c r="J137" s="124"/>
      <c r="K137" s="124" t="s">
        <v>723</v>
      </c>
      <c r="L137" s="124" t="s">
        <v>697</v>
      </c>
      <c r="M137" s="125" t="s">
        <v>183</v>
      </c>
      <c r="N137" s="126">
        <f t="shared" si="16"/>
        <v>4554</v>
      </c>
      <c r="O137" s="127">
        <v>0</v>
      </c>
      <c r="P137" s="127"/>
      <c r="Q137" s="127"/>
      <c r="R137" s="127"/>
      <c r="S137" s="127"/>
      <c r="T137" s="127">
        <v>0</v>
      </c>
      <c r="U137" s="127"/>
      <c r="V137" s="127"/>
      <c r="W137" s="127"/>
      <c r="X137" s="127">
        <v>0</v>
      </c>
      <c r="Y137" s="127"/>
      <c r="Z137" s="127"/>
      <c r="AA137" s="127"/>
      <c r="AB137" s="127">
        <v>0</v>
      </c>
      <c r="AC137" s="127"/>
      <c r="AD137" s="127"/>
      <c r="AE137" s="127"/>
      <c r="AF137" s="127"/>
      <c r="AG137" s="127">
        <v>0</v>
      </c>
      <c r="AH137" s="127"/>
      <c r="AI137" s="127"/>
      <c r="AJ137" s="127"/>
      <c r="AK137" s="154">
        <v>4554</v>
      </c>
      <c r="AL137" s="127"/>
      <c r="AM137" s="127"/>
      <c r="AN137" s="127"/>
      <c r="AO137" s="127">
        <v>0</v>
      </c>
      <c r="AP137" s="127"/>
      <c r="AQ137" s="127"/>
      <c r="AR137" s="127"/>
      <c r="AS137" s="127"/>
      <c r="AT137" s="127">
        <v>0</v>
      </c>
      <c r="AU137" s="127"/>
      <c r="AV137" s="127"/>
      <c r="AW137" s="127"/>
      <c r="AX137" s="127">
        <v>0</v>
      </c>
      <c r="AY137" s="127"/>
      <c r="AZ137" s="127"/>
      <c r="BA137" s="127"/>
      <c r="BB137" s="127">
        <v>0</v>
      </c>
      <c r="BC137" s="127"/>
      <c r="BD137" s="127"/>
      <c r="BE137" s="127"/>
      <c r="BF137" s="127"/>
      <c r="BG137" s="127">
        <v>0</v>
      </c>
      <c r="BH137" s="127"/>
      <c r="BI137" s="127"/>
      <c r="BJ137" s="127"/>
      <c r="BK137" s="127">
        <v>0</v>
      </c>
      <c r="BL137" s="127"/>
      <c r="BM137" s="127"/>
      <c r="BN137" s="127"/>
      <c r="BO137" s="127"/>
      <c r="BP137" s="127" t="s">
        <v>724</v>
      </c>
      <c r="BQ137" s="127" t="s">
        <v>725</v>
      </c>
      <c r="BR137" s="127" t="s">
        <v>726</v>
      </c>
      <c r="BS137" s="127" t="s">
        <v>727</v>
      </c>
      <c r="BT137" s="127" t="s">
        <v>188</v>
      </c>
      <c r="BU137" s="127" t="s">
        <v>189</v>
      </c>
      <c r="BV137" s="127" t="s">
        <v>229</v>
      </c>
      <c r="BW137" s="127" t="s">
        <v>191</v>
      </c>
      <c r="BX137" s="127" t="s">
        <v>596</v>
      </c>
      <c r="BY137" s="127" t="s">
        <v>189</v>
      </c>
      <c r="BZ137" s="127" t="s">
        <v>721</v>
      </c>
    </row>
    <row r="138" spans="2:78" s="121" customFormat="1" outlineLevel="2">
      <c r="B138" s="121" t="s">
        <v>471</v>
      </c>
      <c r="C138" s="121" t="s">
        <v>674</v>
      </c>
      <c r="D138" s="121" t="s">
        <v>177</v>
      </c>
      <c r="F138" s="121" t="s">
        <v>88</v>
      </c>
      <c r="H138" s="122" t="s">
        <v>728</v>
      </c>
      <c r="I138" s="124"/>
      <c r="J138" s="124"/>
      <c r="K138" s="124" t="s">
        <v>729</v>
      </c>
      <c r="L138" s="124" t="s">
        <v>697</v>
      </c>
      <c r="M138" s="125" t="s">
        <v>183</v>
      </c>
      <c r="N138" s="126">
        <f t="shared" si="16"/>
        <v>1200</v>
      </c>
      <c r="O138" s="127">
        <v>0</v>
      </c>
      <c r="P138" s="127"/>
      <c r="Q138" s="127"/>
      <c r="R138" s="127"/>
      <c r="S138" s="127"/>
      <c r="T138" s="127">
        <v>0</v>
      </c>
      <c r="U138" s="127"/>
      <c r="V138" s="127"/>
      <c r="W138" s="127"/>
      <c r="X138" s="127">
        <v>0</v>
      </c>
      <c r="Y138" s="127"/>
      <c r="Z138" s="127"/>
      <c r="AA138" s="127"/>
      <c r="AB138" s="127">
        <v>0</v>
      </c>
      <c r="AC138" s="127"/>
      <c r="AD138" s="127"/>
      <c r="AE138" s="127"/>
      <c r="AF138" s="127"/>
      <c r="AG138" s="127">
        <v>0</v>
      </c>
      <c r="AH138" s="127"/>
      <c r="AI138" s="127"/>
      <c r="AJ138" s="127"/>
      <c r="AK138" s="127">
        <v>0</v>
      </c>
      <c r="AL138" s="127"/>
      <c r="AM138" s="127"/>
      <c r="AN138" s="127"/>
      <c r="AO138" s="127">
        <v>1200</v>
      </c>
      <c r="AP138" s="127"/>
      <c r="AQ138" s="127"/>
      <c r="AR138" s="127"/>
      <c r="AS138" s="127"/>
      <c r="AT138" s="127">
        <v>0</v>
      </c>
      <c r="AU138" s="127"/>
      <c r="AV138" s="127"/>
      <c r="AW138" s="127"/>
      <c r="AX138" s="127">
        <v>0</v>
      </c>
      <c r="AY138" s="127"/>
      <c r="AZ138" s="127"/>
      <c r="BA138" s="127"/>
      <c r="BB138" s="127"/>
      <c r="BC138" s="127"/>
      <c r="BD138" s="127"/>
      <c r="BE138" s="127"/>
      <c r="BF138" s="127"/>
      <c r="BG138" s="127">
        <v>0</v>
      </c>
      <c r="BH138" s="127"/>
      <c r="BI138" s="127"/>
      <c r="BJ138" s="127"/>
      <c r="BK138" s="127">
        <v>0</v>
      </c>
      <c r="BL138" s="127"/>
      <c r="BM138" s="127"/>
      <c r="BN138" s="127"/>
      <c r="BO138" s="127"/>
      <c r="BP138" s="127" t="s">
        <v>730</v>
      </c>
      <c r="BQ138" s="127" t="s">
        <v>588</v>
      </c>
      <c r="BR138" s="127" t="s">
        <v>731</v>
      </c>
      <c r="BS138" s="127" t="s">
        <v>732</v>
      </c>
      <c r="BT138" s="127" t="s">
        <v>188</v>
      </c>
      <c r="BU138" s="127" t="s">
        <v>189</v>
      </c>
      <c r="BV138" s="127" t="s">
        <v>188</v>
      </c>
      <c r="BW138" s="127" t="s">
        <v>733</v>
      </c>
      <c r="BX138" s="127" t="s">
        <v>734</v>
      </c>
      <c r="BY138" s="127" t="s">
        <v>735</v>
      </c>
      <c r="BZ138" s="128" t="s">
        <v>736</v>
      </c>
    </row>
    <row r="139" spans="2:78" s="121" customFormat="1" outlineLevel="2">
      <c r="B139" s="121" t="s">
        <v>471</v>
      </c>
      <c r="C139" s="121" t="s">
        <v>674</v>
      </c>
      <c r="D139" s="107" t="s">
        <v>195</v>
      </c>
      <c r="F139" s="107" t="s">
        <v>88</v>
      </c>
      <c r="G139" s="107" t="s">
        <v>737</v>
      </c>
      <c r="H139" s="122" t="s">
        <v>738</v>
      </c>
      <c r="I139" s="124"/>
      <c r="J139" s="124"/>
      <c r="K139" s="124" t="s">
        <v>739</v>
      </c>
      <c r="L139" s="124" t="s">
        <v>648</v>
      </c>
      <c r="M139" s="125" t="s">
        <v>183</v>
      </c>
      <c r="N139" s="126">
        <f t="shared" si="16"/>
        <v>0</v>
      </c>
      <c r="O139" s="127">
        <v>0</v>
      </c>
      <c r="P139" s="127"/>
      <c r="Q139" s="127"/>
      <c r="R139" s="127"/>
      <c r="S139" s="127"/>
      <c r="T139" s="127">
        <v>0</v>
      </c>
      <c r="U139" s="127"/>
      <c r="V139" s="127"/>
      <c r="W139" s="127"/>
      <c r="X139" s="127">
        <v>0</v>
      </c>
      <c r="Y139" s="127"/>
      <c r="Z139" s="127"/>
      <c r="AA139" s="127"/>
      <c r="AB139" s="127">
        <v>0</v>
      </c>
      <c r="AC139" s="127"/>
      <c r="AD139" s="127"/>
      <c r="AE139" s="127"/>
      <c r="AF139" s="127"/>
      <c r="AG139" s="127"/>
      <c r="AH139" s="127"/>
      <c r="AI139" s="127"/>
      <c r="AJ139" s="127"/>
      <c r="AK139" s="127">
        <v>0</v>
      </c>
      <c r="AL139" s="127"/>
      <c r="AM139" s="127"/>
      <c r="AN139" s="127"/>
      <c r="AO139" s="127">
        <v>0</v>
      </c>
      <c r="AP139" s="127"/>
      <c r="AQ139" s="127"/>
      <c r="AR139" s="127"/>
      <c r="AS139" s="127"/>
      <c r="AT139" s="127">
        <v>0</v>
      </c>
      <c r="AU139" s="127"/>
      <c r="AV139" s="127"/>
      <c r="AW139" s="127"/>
      <c r="AX139" s="127">
        <v>0</v>
      </c>
      <c r="AY139" s="127"/>
      <c r="AZ139" s="127"/>
      <c r="BA139" s="127"/>
      <c r="BB139" s="127">
        <v>0</v>
      </c>
      <c r="BC139" s="127"/>
      <c r="BD139" s="127"/>
      <c r="BE139" s="127"/>
      <c r="BF139" s="127"/>
      <c r="BG139" s="127">
        <v>0</v>
      </c>
      <c r="BH139" s="127"/>
      <c r="BI139" s="127"/>
      <c r="BJ139" s="127"/>
      <c r="BK139" s="127">
        <v>0</v>
      </c>
      <c r="BL139" s="127"/>
      <c r="BM139" s="127"/>
      <c r="BN139" s="127"/>
      <c r="BO139" s="127"/>
      <c r="BP139" s="127" t="s">
        <v>740</v>
      </c>
      <c r="BQ139" s="127" t="s">
        <v>741</v>
      </c>
      <c r="BR139" s="127" t="s">
        <v>742</v>
      </c>
      <c r="BS139" s="127" t="s">
        <v>743</v>
      </c>
      <c r="BT139" s="127" t="s">
        <v>303</v>
      </c>
      <c r="BU139" s="127" t="s">
        <v>189</v>
      </c>
      <c r="BV139" s="127" t="s">
        <v>188</v>
      </c>
      <c r="BW139" s="127" t="s">
        <v>191</v>
      </c>
      <c r="BX139" s="127" t="s">
        <v>744</v>
      </c>
      <c r="BY139" s="127" t="s">
        <v>745</v>
      </c>
      <c r="BZ139" s="128" t="s">
        <v>746</v>
      </c>
    </row>
    <row r="140" spans="2:78" s="121" customFormat="1" outlineLevel="2">
      <c r="B140" s="121" t="s">
        <v>471</v>
      </c>
      <c r="C140" s="121" t="s">
        <v>674</v>
      </c>
      <c r="D140" s="107" t="s">
        <v>195</v>
      </c>
      <c r="F140" s="107" t="s">
        <v>88</v>
      </c>
      <c r="G140" s="107" t="s">
        <v>199</v>
      </c>
      <c r="H140" s="122" t="s">
        <v>747</v>
      </c>
      <c r="I140" s="124" t="s">
        <v>695</v>
      </c>
      <c r="J140" s="124"/>
      <c r="K140" s="124" t="s">
        <v>748</v>
      </c>
      <c r="L140" s="124" t="s">
        <v>697</v>
      </c>
      <c r="M140" s="125" t="s">
        <v>183</v>
      </c>
      <c r="N140" s="126">
        <f t="shared" si="16"/>
        <v>4800</v>
      </c>
      <c r="O140" s="127">
        <v>0</v>
      </c>
      <c r="P140" s="127"/>
      <c r="Q140" s="127"/>
      <c r="R140" s="127"/>
      <c r="S140" s="127"/>
      <c r="T140" s="127">
        <v>0</v>
      </c>
      <c r="U140" s="127"/>
      <c r="V140" s="127"/>
      <c r="W140" s="127"/>
      <c r="X140" s="127">
        <v>0</v>
      </c>
      <c r="Y140" s="130">
        <v>1200</v>
      </c>
      <c r="Z140" s="127"/>
      <c r="AA140" s="127"/>
      <c r="AB140" s="130">
        <v>2400</v>
      </c>
      <c r="AC140" s="130">
        <v>1200</v>
      </c>
      <c r="AD140" s="127"/>
      <c r="AE140" s="127"/>
      <c r="AF140" s="127"/>
      <c r="AG140" s="127">
        <v>0</v>
      </c>
      <c r="AH140" s="127"/>
      <c r="AI140" s="127"/>
      <c r="AJ140" s="127"/>
      <c r="AK140" s="127">
        <v>0</v>
      </c>
      <c r="AL140" s="127"/>
      <c r="AM140" s="127"/>
      <c r="AN140" s="127"/>
      <c r="AO140" s="127">
        <v>0</v>
      </c>
      <c r="AP140" s="127"/>
      <c r="AQ140" s="127"/>
      <c r="AR140" s="127"/>
      <c r="AS140" s="127"/>
      <c r="AT140" s="127">
        <v>0</v>
      </c>
      <c r="AU140" s="127"/>
      <c r="AV140" s="127"/>
      <c r="AW140" s="127"/>
      <c r="AX140" s="127">
        <v>0</v>
      </c>
      <c r="AY140" s="127"/>
      <c r="AZ140" s="127"/>
      <c r="BA140" s="127"/>
      <c r="BB140" s="127">
        <v>0</v>
      </c>
      <c r="BC140" s="127"/>
      <c r="BD140" s="127"/>
      <c r="BE140" s="127"/>
      <c r="BF140" s="127"/>
      <c r="BG140" s="127">
        <v>0</v>
      </c>
      <c r="BH140" s="127"/>
      <c r="BI140" s="127"/>
      <c r="BJ140" s="127"/>
      <c r="BK140" s="127">
        <v>0</v>
      </c>
      <c r="BL140" s="127"/>
      <c r="BM140" s="127"/>
      <c r="BN140" s="127"/>
      <c r="BO140" s="127"/>
      <c r="BP140" s="127" t="s">
        <v>749</v>
      </c>
      <c r="BQ140" s="127" t="s">
        <v>725</v>
      </c>
      <c r="BR140" s="127" t="s">
        <v>750</v>
      </c>
      <c r="BS140" s="127" t="s">
        <v>751</v>
      </c>
      <c r="BT140" s="127" t="s">
        <v>188</v>
      </c>
      <c r="BU140" s="127" t="s">
        <v>189</v>
      </c>
      <c r="BV140" s="127" t="s">
        <v>229</v>
      </c>
      <c r="BW140" s="127" t="s">
        <v>191</v>
      </c>
      <c r="BX140" s="127" t="s">
        <v>241</v>
      </c>
      <c r="BY140" s="127" t="s">
        <v>189</v>
      </c>
      <c r="BZ140" s="127" t="s">
        <v>721</v>
      </c>
    </row>
    <row r="141" spans="2:78" s="121" customFormat="1" outlineLevel="2">
      <c r="B141" s="121" t="s">
        <v>471</v>
      </c>
      <c r="C141" s="121" t="s">
        <v>674</v>
      </c>
      <c r="D141" s="107" t="s">
        <v>195</v>
      </c>
      <c r="F141" s="149" t="s">
        <v>88</v>
      </c>
      <c r="G141" s="107" t="s">
        <v>199</v>
      </c>
      <c r="H141" s="122" t="s">
        <v>752</v>
      </c>
      <c r="I141" s="124" t="s">
        <v>695</v>
      </c>
      <c r="J141" s="124"/>
      <c r="K141" s="124" t="s">
        <v>748</v>
      </c>
      <c r="L141" s="124" t="s">
        <v>697</v>
      </c>
      <c r="M141" s="125" t="s">
        <v>183</v>
      </c>
      <c r="N141" s="126">
        <f>SUM(O141:BO141)</f>
        <v>3000</v>
      </c>
      <c r="O141" s="127">
        <v>0</v>
      </c>
      <c r="P141" s="127"/>
      <c r="Q141" s="127"/>
      <c r="R141" s="127"/>
      <c r="S141" s="127"/>
      <c r="T141" s="127">
        <v>0</v>
      </c>
      <c r="U141" s="127"/>
      <c r="V141" s="127"/>
      <c r="W141" s="127"/>
      <c r="X141" s="127">
        <v>0</v>
      </c>
      <c r="Y141" s="127"/>
      <c r="Z141" s="127"/>
      <c r="AA141" s="127"/>
      <c r="AB141" s="127">
        <v>0</v>
      </c>
      <c r="AC141" s="127"/>
      <c r="AD141" s="127"/>
      <c r="AE141" s="127"/>
      <c r="AF141" s="127"/>
      <c r="AG141" s="130">
        <v>2000</v>
      </c>
      <c r="AH141" s="130">
        <v>1000</v>
      </c>
      <c r="AI141" s="127"/>
      <c r="AJ141" s="127"/>
      <c r="AK141" s="127">
        <v>0</v>
      </c>
      <c r="AL141" s="127"/>
      <c r="AM141" s="127"/>
      <c r="AN141" s="127"/>
      <c r="AO141" s="127">
        <v>0</v>
      </c>
      <c r="AP141" s="127"/>
      <c r="AQ141" s="127"/>
      <c r="AR141" s="127"/>
      <c r="AS141" s="127"/>
      <c r="AT141" s="127">
        <v>0</v>
      </c>
      <c r="AU141" s="127"/>
      <c r="AV141" s="127"/>
      <c r="AW141" s="127"/>
      <c r="AX141" s="127">
        <v>0</v>
      </c>
      <c r="AY141" s="127"/>
      <c r="AZ141" s="127"/>
      <c r="BA141" s="127"/>
      <c r="BB141" s="127">
        <v>0</v>
      </c>
      <c r="BC141" s="127"/>
      <c r="BD141" s="127"/>
      <c r="BE141" s="127"/>
      <c r="BF141" s="127"/>
      <c r="BG141" s="127">
        <v>0</v>
      </c>
      <c r="BH141" s="127"/>
      <c r="BI141" s="127"/>
      <c r="BJ141" s="127"/>
      <c r="BK141" s="127">
        <v>0</v>
      </c>
      <c r="BL141" s="127"/>
      <c r="BM141" s="127"/>
      <c r="BN141" s="127"/>
      <c r="BO141" s="127"/>
      <c r="BP141" s="127" t="s">
        <v>753</v>
      </c>
      <c r="BQ141" s="127" t="s">
        <v>754</v>
      </c>
      <c r="BR141" s="127" t="s">
        <v>755</v>
      </c>
      <c r="BS141" s="127" t="s">
        <v>756</v>
      </c>
      <c r="BT141" s="127" t="s">
        <v>188</v>
      </c>
      <c r="BU141" s="127" t="s">
        <v>189</v>
      </c>
      <c r="BV141" s="127" t="s">
        <v>205</v>
      </c>
      <c r="BW141" s="127" t="s">
        <v>343</v>
      </c>
      <c r="BX141" s="127" t="s">
        <v>744</v>
      </c>
      <c r="BY141" s="127" t="s">
        <v>189</v>
      </c>
      <c r="BZ141" s="127" t="s">
        <v>703</v>
      </c>
    </row>
    <row r="142" spans="2:78" s="121" customFormat="1" outlineLevel="2">
      <c r="B142" s="121" t="s">
        <v>471</v>
      </c>
      <c r="C142" s="121" t="s">
        <v>674</v>
      </c>
      <c r="D142" s="107" t="s">
        <v>195</v>
      </c>
      <c r="F142" s="107" t="s">
        <v>88</v>
      </c>
      <c r="G142" s="107" t="s">
        <v>199</v>
      </c>
      <c r="H142" s="122" t="s">
        <v>757</v>
      </c>
      <c r="I142" s="124" t="s">
        <v>695</v>
      </c>
      <c r="J142" s="124"/>
      <c r="K142" s="124" t="s">
        <v>748</v>
      </c>
      <c r="L142" s="124" t="s">
        <v>697</v>
      </c>
      <c r="M142" s="125" t="s">
        <v>183</v>
      </c>
      <c r="N142" s="126">
        <f t="shared" si="16"/>
        <v>4000</v>
      </c>
      <c r="O142" s="127"/>
      <c r="P142" s="127"/>
      <c r="Q142" s="127"/>
      <c r="R142" s="127"/>
      <c r="S142" s="127"/>
      <c r="T142" s="127">
        <v>0</v>
      </c>
      <c r="U142" s="127"/>
      <c r="V142" s="127"/>
      <c r="W142" s="127"/>
      <c r="X142" s="127">
        <v>0</v>
      </c>
      <c r="Y142" s="127"/>
      <c r="Z142" s="127"/>
      <c r="AA142" s="127"/>
      <c r="AB142" s="127">
        <v>0</v>
      </c>
      <c r="AC142" s="127"/>
      <c r="AD142" s="127"/>
      <c r="AE142" s="127"/>
      <c r="AF142" s="127"/>
      <c r="AG142" s="127">
        <v>0</v>
      </c>
      <c r="AH142" s="127"/>
      <c r="AI142" s="130">
        <v>1000</v>
      </c>
      <c r="AJ142" s="130">
        <v>1000</v>
      </c>
      <c r="AK142" s="130">
        <v>1000</v>
      </c>
      <c r="AL142" s="130">
        <v>1000</v>
      </c>
      <c r="AM142" s="127"/>
      <c r="AN142" s="127"/>
      <c r="AO142" s="127">
        <v>0</v>
      </c>
      <c r="AP142" s="127"/>
      <c r="AQ142" s="127"/>
      <c r="AR142" s="127"/>
      <c r="AS142" s="127"/>
      <c r="AT142" s="127">
        <v>0</v>
      </c>
      <c r="AU142" s="127"/>
      <c r="AV142" s="127"/>
      <c r="AW142" s="127"/>
      <c r="AX142" s="127">
        <v>0</v>
      </c>
      <c r="AY142" s="127"/>
      <c r="AZ142" s="127"/>
      <c r="BA142" s="127"/>
      <c r="BB142" s="127">
        <v>0</v>
      </c>
      <c r="BC142" s="127"/>
      <c r="BD142" s="127"/>
      <c r="BE142" s="127"/>
      <c r="BF142" s="127"/>
      <c r="BG142" s="127">
        <v>0</v>
      </c>
      <c r="BH142" s="127"/>
      <c r="BI142" s="127"/>
      <c r="BJ142" s="127"/>
      <c r="BK142" s="127">
        <v>0</v>
      </c>
      <c r="BL142" s="127"/>
      <c r="BM142" s="127"/>
      <c r="BN142" s="127"/>
      <c r="BO142" s="127"/>
      <c r="BP142" s="127" t="s">
        <v>758</v>
      </c>
      <c r="BQ142" s="127" t="s">
        <v>759</v>
      </c>
      <c r="BR142" s="127" t="s">
        <v>760</v>
      </c>
      <c r="BS142" s="127" t="s">
        <v>761</v>
      </c>
      <c r="BT142" s="127" t="s">
        <v>188</v>
      </c>
      <c r="BU142" s="127" t="s">
        <v>189</v>
      </c>
      <c r="BV142" s="127" t="s">
        <v>229</v>
      </c>
      <c r="BW142" s="127" t="s">
        <v>343</v>
      </c>
      <c r="BX142" s="127" t="s">
        <v>189</v>
      </c>
      <c r="BY142" s="127" t="s">
        <v>189</v>
      </c>
      <c r="BZ142" s="127" t="s">
        <v>703</v>
      </c>
    </row>
    <row r="143" spans="2:78" s="121" customFormat="1" outlineLevel="2">
      <c r="B143" s="121" t="s">
        <v>471</v>
      </c>
      <c r="C143" s="121" t="s">
        <v>674</v>
      </c>
      <c r="D143" s="107" t="s">
        <v>195</v>
      </c>
      <c r="F143" s="107" t="s">
        <v>88</v>
      </c>
      <c r="G143" s="107" t="s">
        <v>548</v>
      </c>
      <c r="H143" s="124" t="s">
        <v>762</v>
      </c>
      <c r="I143" s="124"/>
      <c r="J143" s="124"/>
      <c r="K143" s="124" t="s">
        <v>763</v>
      </c>
      <c r="L143" s="124" t="s">
        <v>648</v>
      </c>
      <c r="M143" s="125" t="s">
        <v>183</v>
      </c>
      <c r="N143" s="126">
        <f t="shared" si="16"/>
        <v>0</v>
      </c>
      <c r="O143" s="127"/>
      <c r="P143" s="127"/>
      <c r="Q143" s="127"/>
      <c r="R143" s="127"/>
      <c r="S143" s="127"/>
      <c r="T143" s="127">
        <v>0</v>
      </c>
      <c r="U143" s="127"/>
      <c r="V143" s="127"/>
      <c r="W143" s="127"/>
      <c r="X143" s="127">
        <v>0</v>
      </c>
      <c r="Y143" s="127"/>
      <c r="Z143" s="127"/>
      <c r="AA143" s="127"/>
      <c r="AB143" s="127">
        <v>0</v>
      </c>
      <c r="AC143" s="127"/>
      <c r="AD143" s="127"/>
      <c r="AE143" s="127"/>
      <c r="AF143" s="127"/>
      <c r="AG143" s="127">
        <v>0</v>
      </c>
      <c r="AH143" s="127"/>
      <c r="AI143" s="127"/>
      <c r="AJ143" s="127"/>
      <c r="AK143" s="127">
        <v>0</v>
      </c>
      <c r="AL143" s="127"/>
      <c r="AM143" s="127"/>
      <c r="AN143" s="127"/>
      <c r="AO143" s="127">
        <v>0</v>
      </c>
      <c r="AP143" s="127"/>
      <c r="AQ143" s="127"/>
      <c r="AR143" s="127"/>
      <c r="AS143" s="127"/>
      <c r="AT143" s="127">
        <v>0</v>
      </c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>
        <v>0</v>
      </c>
      <c r="BH143" s="127"/>
      <c r="BI143" s="127"/>
      <c r="BJ143" s="127"/>
      <c r="BK143" s="127">
        <v>0</v>
      </c>
      <c r="BL143" s="127"/>
      <c r="BM143" s="127"/>
      <c r="BN143" s="127"/>
      <c r="BO143" s="127"/>
      <c r="BP143" s="127" t="s">
        <v>764</v>
      </c>
      <c r="BQ143" s="127" t="s">
        <v>189</v>
      </c>
      <c r="BR143" s="127" t="s">
        <v>189</v>
      </c>
      <c r="BS143" s="127" t="s">
        <v>189</v>
      </c>
      <c r="BT143" s="127" t="s">
        <v>188</v>
      </c>
      <c r="BU143" s="127" t="s">
        <v>189</v>
      </c>
      <c r="BV143" s="127" t="s">
        <v>188</v>
      </c>
      <c r="BW143" s="127" t="s">
        <v>733</v>
      </c>
      <c r="BX143" s="127" t="s">
        <v>189</v>
      </c>
      <c r="BY143" s="127" t="s">
        <v>189</v>
      </c>
      <c r="BZ143" s="127" t="s">
        <v>189</v>
      </c>
    </row>
    <row r="144" spans="2:78" s="121" customFormat="1" outlineLevel="2">
      <c r="B144" s="121" t="s">
        <v>471</v>
      </c>
      <c r="C144" s="121" t="s">
        <v>674</v>
      </c>
      <c r="D144" s="121" t="s">
        <v>195</v>
      </c>
      <c r="E144" s="121" t="s">
        <v>765</v>
      </c>
      <c r="F144" s="107" t="s">
        <v>88</v>
      </c>
      <c r="G144" s="107" t="s">
        <v>199</v>
      </c>
      <c r="H144" s="122" t="s">
        <v>766</v>
      </c>
      <c r="I144" s="123" t="s">
        <v>767</v>
      </c>
      <c r="J144" s="124"/>
      <c r="K144" s="124" t="s">
        <v>768</v>
      </c>
      <c r="L144" s="124" t="s">
        <v>648</v>
      </c>
      <c r="M144" s="125" t="s">
        <v>183</v>
      </c>
      <c r="N144" s="126">
        <f t="shared" si="16"/>
        <v>1200</v>
      </c>
      <c r="O144" s="127">
        <v>0</v>
      </c>
      <c r="P144" s="127"/>
      <c r="Q144" s="127"/>
      <c r="R144" s="127"/>
      <c r="S144" s="127"/>
      <c r="T144" s="127">
        <v>0</v>
      </c>
      <c r="U144" s="127"/>
      <c r="V144" s="127"/>
      <c r="W144" s="127"/>
      <c r="X144" s="127">
        <v>0</v>
      </c>
      <c r="Y144" s="127"/>
      <c r="Z144" s="127"/>
      <c r="AA144" s="127"/>
      <c r="AB144" s="127">
        <v>0</v>
      </c>
      <c r="AC144" s="127"/>
      <c r="AD144" s="127"/>
      <c r="AE144" s="130">
        <v>1200</v>
      </c>
      <c r="AF144" s="127"/>
      <c r="AG144" s="127"/>
      <c r="AH144" s="127"/>
      <c r="AI144" s="127"/>
      <c r="AJ144" s="127"/>
      <c r="AK144" s="127">
        <v>0</v>
      </c>
      <c r="AL144" s="127"/>
      <c r="AM144" s="127"/>
      <c r="AN144" s="127"/>
      <c r="AO144" s="127"/>
      <c r="AP144" s="127"/>
      <c r="AQ144" s="127"/>
      <c r="AR144" s="127"/>
      <c r="AS144" s="127"/>
      <c r="AT144" s="127">
        <v>0</v>
      </c>
      <c r="AU144" s="127"/>
      <c r="AV144" s="127"/>
      <c r="AW144" s="127"/>
      <c r="AX144" s="127">
        <v>0</v>
      </c>
      <c r="AY144" s="127"/>
      <c r="AZ144" s="127"/>
      <c r="BA144" s="127"/>
      <c r="BB144" s="127">
        <v>0</v>
      </c>
      <c r="BC144" s="127"/>
      <c r="BD144" s="127"/>
      <c r="BE144" s="127"/>
      <c r="BF144" s="127"/>
      <c r="BG144" s="127">
        <v>0</v>
      </c>
      <c r="BH144" s="127"/>
      <c r="BI144" s="127"/>
      <c r="BJ144" s="127"/>
      <c r="BK144" s="127">
        <v>0</v>
      </c>
      <c r="BL144" s="127"/>
      <c r="BM144" s="127"/>
      <c r="BN144" s="127"/>
      <c r="BO144" s="127"/>
      <c r="BP144" s="127" t="s">
        <v>769</v>
      </c>
      <c r="BQ144" s="127" t="s">
        <v>770</v>
      </c>
      <c r="BR144" s="127" t="s">
        <v>771</v>
      </c>
      <c r="BS144" s="127" t="s">
        <v>772</v>
      </c>
      <c r="BT144" s="127" t="s">
        <v>239</v>
      </c>
      <c r="BU144" s="127" t="s">
        <v>189</v>
      </c>
      <c r="BV144" s="127" t="s">
        <v>190</v>
      </c>
      <c r="BW144" s="127" t="s">
        <v>191</v>
      </c>
      <c r="BX144" s="127" t="s">
        <v>773</v>
      </c>
      <c r="BY144" s="127" t="s">
        <v>774</v>
      </c>
      <c r="BZ144" s="128" t="s">
        <v>775</v>
      </c>
    </row>
    <row r="145" spans="2:78" s="121" customFormat="1" outlineLevel="2">
      <c r="B145" s="121" t="s">
        <v>471</v>
      </c>
      <c r="C145" s="121" t="s">
        <v>674</v>
      </c>
      <c r="F145" s="107" t="s">
        <v>89</v>
      </c>
      <c r="G145" s="107" t="s">
        <v>199</v>
      </c>
      <c r="H145" s="122" t="s">
        <v>766</v>
      </c>
      <c r="I145" s="123" t="s">
        <v>767</v>
      </c>
      <c r="J145" s="124"/>
      <c r="K145" s="124" t="s">
        <v>776</v>
      </c>
      <c r="L145" s="124" t="s">
        <v>648</v>
      </c>
      <c r="M145" s="125" t="s">
        <v>183</v>
      </c>
      <c r="N145" s="126">
        <f>SUM(O145:BO145)</f>
        <v>2300</v>
      </c>
      <c r="O145" s="127">
        <v>0</v>
      </c>
      <c r="P145" s="127"/>
      <c r="Q145" s="127"/>
      <c r="R145" s="127"/>
      <c r="S145" s="127"/>
      <c r="T145" s="127">
        <v>0</v>
      </c>
      <c r="U145" s="127"/>
      <c r="V145" s="127"/>
      <c r="W145" s="127"/>
      <c r="X145" s="127">
        <v>0</v>
      </c>
      <c r="Y145" s="127"/>
      <c r="Z145" s="127"/>
      <c r="AA145" s="127"/>
      <c r="AB145" s="127">
        <v>0</v>
      </c>
      <c r="AC145" s="127"/>
      <c r="AD145" s="127"/>
      <c r="AE145" s="127"/>
      <c r="AF145" s="127"/>
      <c r="AG145" s="130">
        <v>400</v>
      </c>
      <c r="AH145" s="130">
        <v>380</v>
      </c>
      <c r="AI145" s="130">
        <v>380</v>
      </c>
      <c r="AJ145" s="130">
        <v>380</v>
      </c>
      <c r="AK145" s="130">
        <v>380</v>
      </c>
      <c r="AL145" s="130">
        <v>380</v>
      </c>
      <c r="AM145" s="127"/>
      <c r="AN145" s="127"/>
      <c r="AO145" s="127"/>
      <c r="AP145" s="127"/>
      <c r="AQ145" s="127"/>
      <c r="AR145" s="127"/>
      <c r="AS145" s="127"/>
      <c r="AT145" s="127">
        <v>0</v>
      </c>
      <c r="AU145" s="127"/>
      <c r="AV145" s="127"/>
      <c r="AW145" s="127"/>
      <c r="AX145" s="127">
        <v>0</v>
      </c>
      <c r="AY145" s="127"/>
      <c r="AZ145" s="127"/>
      <c r="BA145" s="127"/>
      <c r="BB145" s="127">
        <v>0</v>
      </c>
      <c r="BC145" s="127"/>
      <c r="BD145" s="127"/>
      <c r="BE145" s="127"/>
      <c r="BF145" s="127"/>
      <c r="BG145" s="127">
        <v>0</v>
      </c>
      <c r="BH145" s="127"/>
      <c r="BI145" s="127"/>
      <c r="BJ145" s="127"/>
      <c r="BK145" s="127">
        <v>0</v>
      </c>
      <c r="BL145" s="127"/>
      <c r="BM145" s="127"/>
      <c r="BN145" s="127"/>
      <c r="BO145" s="127"/>
      <c r="BP145" s="127" t="s">
        <v>769</v>
      </c>
      <c r="BQ145" s="127" t="s">
        <v>770</v>
      </c>
      <c r="BR145" s="127" t="s">
        <v>771</v>
      </c>
      <c r="BS145" s="127" t="s">
        <v>772</v>
      </c>
      <c r="BT145" s="127" t="s">
        <v>239</v>
      </c>
      <c r="BU145" s="127" t="s">
        <v>189</v>
      </c>
      <c r="BV145" s="127" t="s">
        <v>190</v>
      </c>
      <c r="BW145" s="127" t="s">
        <v>191</v>
      </c>
      <c r="BX145" s="127" t="s">
        <v>773</v>
      </c>
      <c r="BY145" s="127" t="s">
        <v>774</v>
      </c>
      <c r="BZ145" s="128" t="s">
        <v>775</v>
      </c>
    </row>
    <row r="146" spans="2:78" s="121" customFormat="1" outlineLevel="2">
      <c r="B146" s="121" t="s">
        <v>471</v>
      </c>
      <c r="C146" s="121" t="s">
        <v>674</v>
      </c>
      <c r="D146" s="121" t="s">
        <v>177</v>
      </c>
      <c r="F146" s="107" t="s">
        <v>88</v>
      </c>
      <c r="G146" s="145" t="s">
        <v>199</v>
      </c>
      <c r="H146" s="122" t="s">
        <v>766</v>
      </c>
      <c r="I146" s="123" t="s">
        <v>180</v>
      </c>
      <c r="J146" s="124"/>
      <c r="K146" s="124" t="s">
        <v>768</v>
      </c>
      <c r="L146" s="124" t="s">
        <v>648</v>
      </c>
      <c r="M146" s="125" t="s">
        <v>183</v>
      </c>
      <c r="N146" s="126">
        <f t="shared" si="16"/>
        <v>15000</v>
      </c>
      <c r="O146" s="127">
        <v>0</v>
      </c>
      <c r="P146" s="127"/>
      <c r="Q146" s="127"/>
      <c r="R146" s="127"/>
      <c r="S146" s="127"/>
      <c r="T146" s="127">
        <v>0</v>
      </c>
      <c r="U146" s="127"/>
      <c r="V146" s="127"/>
      <c r="W146" s="127"/>
      <c r="X146" s="127">
        <v>0</v>
      </c>
      <c r="Y146" s="127"/>
      <c r="Z146" s="127"/>
      <c r="AA146" s="127"/>
      <c r="AB146" s="127">
        <v>2000</v>
      </c>
      <c r="AC146" s="127">
        <v>2000</v>
      </c>
      <c r="AD146" s="127">
        <v>2000</v>
      </c>
      <c r="AE146" s="127">
        <v>1000</v>
      </c>
      <c r="AF146" s="127">
        <v>1000</v>
      </c>
      <c r="AG146" s="127">
        <v>1000</v>
      </c>
      <c r="AH146" s="127">
        <v>1000</v>
      </c>
      <c r="AI146" s="127">
        <v>1000</v>
      </c>
      <c r="AJ146" s="127">
        <v>1000</v>
      </c>
      <c r="AK146" s="127">
        <v>1000</v>
      </c>
      <c r="AL146" s="127">
        <v>1000</v>
      </c>
      <c r="AM146" s="127">
        <v>1000</v>
      </c>
      <c r="AN146" s="127"/>
      <c r="AO146" s="127"/>
      <c r="AP146" s="127"/>
      <c r="AQ146" s="127"/>
      <c r="AR146" s="127"/>
      <c r="AS146" s="127"/>
      <c r="AT146" s="127">
        <v>0</v>
      </c>
      <c r="AU146" s="127"/>
      <c r="AV146" s="127"/>
      <c r="AW146" s="127"/>
      <c r="AX146" s="127">
        <v>0</v>
      </c>
      <c r="AY146" s="127"/>
      <c r="AZ146" s="127"/>
      <c r="BA146" s="127"/>
      <c r="BB146" s="127">
        <v>0</v>
      </c>
      <c r="BC146" s="127"/>
      <c r="BD146" s="127"/>
      <c r="BE146" s="127"/>
      <c r="BF146" s="127"/>
      <c r="BG146" s="127">
        <v>0</v>
      </c>
      <c r="BH146" s="127"/>
      <c r="BI146" s="127"/>
      <c r="BJ146" s="127"/>
      <c r="BK146" s="127">
        <v>0</v>
      </c>
      <c r="BL146" s="127"/>
      <c r="BM146" s="127"/>
      <c r="BN146" s="127"/>
      <c r="BO146" s="127"/>
      <c r="BP146" s="127" t="s">
        <v>769</v>
      </c>
      <c r="BQ146" s="127" t="s">
        <v>770</v>
      </c>
      <c r="BR146" s="127" t="s">
        <v>771</v>
      </c>
      <c r="BS146" s="127" t="s">
        <v>772</v>
      </c>
      <c r="BT146" s="127" t="s">
        <v>239</v>
      </c>
      <c r="BU146" s="127" t="s">
        <v>189</v>
      </c>
      <c r="BV146" s="127" t="s">
        <v>190</v>
      </c>
      <c r="BW146" s="127" t="s">
        <v>191</v>
      </c>
      <c r="BX146" s="127" t="s">
        <v>773</v>
      </c>
      <c r="BY146" s="127" t="s">
        <v>774</v>
      </c>
      <c r="BZ146" s="128" t="s">
        <v>775</v>
      </c>
    </row>
    <row r="147" spans="2:78" s="121" customFormat="1" outlineLevel="2">
      <c r="B147" s="121" t="s">
        <v>471</v>
      </c>
      <c r="C147" s="121" t="s">
        <v>674</v>
      </c>
      <c r="D147" s="121" t="s">
        <v>177</v>
      </c>
      <c r="F147" s="107" t="s">
        <v>88</v>
      </c>
      <c r="G147" s="145" t="s">
        <v>199</v>
      </c>
      <c r="H147" s="122" t="s">
        <v>766</v>
      </c>
      <c r="I147" s="123" t="s">
        <v>180</v>
      </c>
      <c r="J147" s="124"/>
      <c r="K147" s="124" t="s">
        <v>776</v>
      </c>
      <c r="L147" s="124" t="s">
        <v>648</v>
      </c>
      <c r="M147" s="125" t="s">
        <v>183</v>
      </c>
      <c r="N147" s="126">
        <f t="shared" si="16"/>
        <v>6000</v>
      </c>
      <c r="O147" s="127">
        <v>0</v>
      </c>
      <c r="P147" s="127"/>
      <c r="Q147" s="127"/>
      <c r="R147" s="127"/>
      <c r="S147" s="127"/>
      <c r="T147" s="127">
        <v>0</v>
      </c>
      <c r="U147" s="127"/>
      <c r="V147" s="127"/>
      <c r="W147" s="127"/>
      <c r="X147" s="127">
        <v>0</v>
      </c>
      <c r="Y147" s="127"/>
      <c r="Z147" s="127"/>
      <c r="AA147" s="127"/>
      <c r="AB147" s="127">
        <v>0</v>
      </c>
      <c r="AC147" s="127"/>
      <c r="AD147" s="127"/>
      <c r="AE147" s="127">
        <v>1000</v>
      </c>
      <c r="AF147" s="127"/>
      <c r="AG147" s="127">
        <v>1000</v>
      </c>
      <c r="AH147" s="127"/>
      <c r="AI147" s="127">
        <v>1000</v>
      </c>
      <c r="AJ147" s="127"/>
      <c r="AK147" s="127">
        <v>1000</v>
      </c>
      <c r="AL147" s="127">
        <v>1000</v>
      </c>
      <c r="AM147" s="127">
        <v>1000</v>
      </c>
      <c r="AN147" s="127"/>
      <c r="AO147" s="127"/>
      <c r="AP147" s="127"/>
      <c r="AQ147" s="127"/>
      <c r="AR147" s="127"/>
      <c r="AS147" s="127"/>
      <c r="AT147" s="127">
        <v>0</v>
      </c>
      <c r="AU147" s="127"/>
      <c r="AV147" s="127"/>
      <c r="AW147" s="127"/>
      <c r="AX147" s="127">
        <v>0</v>
      </c>
      <c r="AY147" s="127"/>
      <c r="AZ147" s="127"/>
      <c r="BA147" s="127"/>
      <c r="BB147" s="127">
        <v>0</v>
      </c>
      <c r="BC147" s="127"/>
      <c r="BD147" s="127"/>
      <c r="BE147" s="127"/>
      <c r="BF147" s="127"/>
      <c r="BG147" s="127">
        <v>0</v>
      </c>
      <c r="BH147" s="127"/>
      <c r="BI147" s="127"/>
      <c r="BJ147" s="127"/>
      <c r="BK147" s="127">
        <v>0</v>
      </c>
      <c r="BL147" s="127"/>
      <c r="BM147" s="127"/>
      <c r="BN147" s="127"/>
      <c r="BO147" s="127"/>
      <c r="BP147" s="127" t="s">
        <v>769</v>
      </c>
      <c r="BQ147" s="127" t="s">
        <v>770</v>
      </c>
      <c r="BR147" s="127" t="s">
        <v>771</v>
      </c>
      <c r="BS147" s="127" t="s">
        <v>772</v>
      </c>
      <c r="BT147" s="127" t="s">
        <v>239</v>
      </c>
      <c r="BU147" s="127" t="s">
        <v>189</v>
      </c>
      <c r="BV147" s="127" t="s">
        <v>190</v>
      </c>
      <c r="BW147" s="127" t="s">
        <v>191</v>
      </c>
      <c r="BX147" s="127" t="s">
        <v>773</v>
      </c>
      <c r="BY147" s="127" t="s">
        <v>774</v>
      </c>
      <c r="BZ147" s="128" t="s">
        <v>775</v>
      </c>
    </row>
    <row r="148" spans="2:78" s="121" customFormat="1" outlineLevel="2">
      <c r="B148" s="121" t="s">
        <v>471</v>
      </c>
      <c r="C148" s="121" t="s">
        <v>674</v>
      </c>
      <c r="D148" s="121" t="s">
        <v>195</v>
      </c>
      <c r="F148" s="107" t="s">
        <v>88</v>
      </c>
      <c r="G148" s="145" t="s">
        <v>199</v>
      </c>
      <c r="H148" s="122" t="s">
        <v>766</v>
      </c>
      <c r="I148" s="123" t="s">
        <v>180</v>
      </c>
      <c r="J148" s="124"/>
      <c r="K148" s="124" t="s">
        <v>776</v>
      </c>
      <c r="L148" s="124" t="s">
        <v>648</v>
      </c>
      <c r="M148" s="125" t="s">
        <v>183</v>
      </c>
      <c r="N148" s="126">
        <f t="shared" si="16"/>
        <v>65300</v>
      </c>
      <c r="O148" s="127">
        <v>0</v>
      </c>
      <c r="P148" s="127"/>
      <c r="Q148" s="127"/>
      <c r="R148" s="127"/>
      <c r="S148" s="127"/>
      <c r="T148" s="127">
        <v>0</v>
      </c>
      <c r="U148" s="127"/>
      <c r="V148" s="127"/>
      <c r="W148" s="127"/>
      <c r="X148" s="127">
        <v>0</v>
      </c>
      <c r="Y148" s="127"/>
      <c r="Z148" s="127"/>
      <c r="AA148" s="127"/>
      <c r="AB148" s="127">
        <v>0</v>
      </c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>
        <v>2000</v>
      </c>
      <c r="AO148" s="127">
        <v>5000</v>
      </c>
      <c r="AP148" s="127">
        <v>5000</v>
      </c>
      <c r="AQ148" s="127">
        <v>5000</v>
      </c>
      <c r="AR148" s="127">
        <v>5000</v>
      </c>
      <c r="AS148" s="127">
        <v>5000</v>
      </c>
      <c r="AT148" s="127">
        <v>5000</v>
      </c>
      <c r="AU148" s="127">
        <v>5000</v>
      </c>
      <c r="AV148" s="127">
        <v>5000</v>
      </c>
      <c r="AW148" s="127">
        <v>5000</v>
      </c>
      <c r="AX148" s="127">
        <v>5000</v>
      </c>
      <c r="AY148" s="127">
        <v>5000</v>
      </c>
      <c r="AZ148" s="127">
        <v>5000</v>
      </c>
      <c r="BA148" s="127">
        <v>3300</v>
      </c>
      <c r="BB148" s="127">
        <v>0</v>
      </c>
      <c r="BC148" s="127"/>
      <c r="BD148" s="127"/>
      <c r="BE148" s="127"/>
      <c r="BF148" s="127"/>
      <c r="BG148" s="127">
        <v>0</v>
      </c>
      <c r="BH148" s="127"/>
      <c r="BI148" s="127"/>
      <c r="BJ148" s="127"/>
      <c r="BK148" s="127">
        <v>0</v>
      </c>
      <c r="BL148" s="127"/>
      <c r="BM148" s="127"/>
      <c r="BN148" s="127"/>
      <c r="BO148" s="127"/>
      <c r="BP148" s="127" t="s">
        <v>769</v>
      </c>
      <c r="BQ148" s="127" t="s">
        <v>770</v>
      </c>
      <c r="BR148" s="127" t="s">
        <v>771</v>
      </c>
      <c r="BS148" s="127" t="s">
        <v>772</v>
      </c>
      <c r="BT148" s="127" t="s">
        <v>239</v>
      </c>
      <c r="BU148" s="127" t="s">
        <v>189</v>
      </c>
      <c r="BV148" s="127" t="s">
        <v>190</v>
      </c>
      <c r="BW148" s="127" t="s">
        <v>191</v>
      </c>
      <c r="BX148" s="127" t="s">
        <v>773</v>
      </c>
      <c r="BY148" s="127" t="s">
        <v>774</v>
      </c>
      <c r="BZ148" s="128" t="s">
        <v>775</v>
      </c>
    </row>
    <row r="149" spans="2:78" s="121" customFormat="1" outlineLevel="2">
      <c r="B149" s="121" t="s">
        <v>471</v>
      </c>
      <c r="C149" s="121" t="s">
        <v>674</v>
      </c>
      <c r="D149" s="107" t="s">
        <v>195</v>
      </c>
      <c r="F149" s="107" t="s">
        <v>88</v>
      </c>
      <c r="H149" s="124" t="s">
        <v>777</v>
      </c>
      <c r="I149" s="124" t="s">
        <v>695</v>
      </c>
      <c r="J149" s="124"/>
      <c r="K149" s="124" t="s">
        <v>778</v>
      </c>
      <c r="L149" s="124" t="s">
        <v>697</v>
      </c>
      <c r="M149" s="125" t="s">
        <v>183</v>
      </c>
      <c r="N149" s="126">
        <f t="shared" si="16"/>
        <v>4448</v>
      </c>
      <c r="O149" s="127">
        <v>0</v>
      </c>
      <c r="P149" s="127"/>
      <c r="Q149" s="127"/>
      <c r="R149" s="127"/>
      <c r="S149" s="127"/>
      <c r="T149" s="127">
        <v>0</v>
      </c>
      <c r="U149" s="127"/>
      <c r="V149" s="127"/>
      <c r="W149" s="127"/>
      <c r="X149" s="127">
        <v>0</v>
      </c>
      <c r="Y149" s="127"/>
      <c r="Z149" s="127"/>
      <c r="AA149" s="127"/>
      <c r="AB149" s="127">
        <v>0</v>
      </c>
      <c r="AC149" s="127"/>
      <c r="AD149" s="127"/>
      <c r="AE149" s="127"/>
      <c r="AF149" s="127"/>
      <c r="AG149" s="127">
        <v>0</v>
      </c>
      <c r="AH149" s="127"/>
      <c r="AI149" s="127"/>
      <c r="AJ149" s="127"/>
      <c r="AK149" s="127">
        <v>0</v>
      </c>
      <c r="AL149" s="127"/>
      <c r="AM149" s="127"/>
      <c r="AN149" s="127"/>
      <c r="AO149" s="154">
        <v>4448</v>
      </c>
      <c r="AP149" s="127"/>
      <c r="AQ149" s="127"/>
      <c r="AR149" s="127"/>
      <c r="AS149" s="127"/>
      <c r="AT149" s="127">
        <v>0</v>
      </c>
      <c r="AU149" s="127"/>
      <c r="AV149" s="127"/>
      <c r="AW149" s="127"/>
      <c r="AX149" s="127">
        <v>0</v>
      </c>
      <c r="AY149" s="127"/>
      <c r="AZ149" s="127"/>
      <c r="BA149" s="127"/>
      <c r="BB149" s="127">
        <v>0</v>
      </c>
      <c r="BC149" s="127"/>
      <c r="BD149" s="127"/>
      <c r="BE149" s="127"/>
      <c r="BF149" s="127"/>
      <c r="BG149" s="127">
        <v>0</v>
      </c>
      <c r="BH149" s="127"/>
      <c r="BI149" s="127"/>
      <c r="BJ149" s="127"/>
      <c r="BK149" s="127">
        <v>0</v>
      </c>
      <c r="BL149" s="127"/>
      <c r="BM149" s="127"/>
      <c r="BN149" s="127"/>
      <c r="BO149" s="127"/>
      <c r="BP149" s="127" t="s">
        <v>779</v>
      </c>
      <c r="BQ149" s="127" t="s">
        <v>780</v>
      </c>
      <c r="BR149" s="127" t="s">
        <v>781</v>
      </c>
      <c r="BS149" s="127" t="s">
        <v>782</v>
      </c>
      <c r="BT149" s="127" t="s">
        <v>188</v>
      </c>
      <c r="BU149" s="127" t="s">
        <v>189</v>
      </c>
      <c r="BV149" s="127" t="s">
        <v>229</v>
      </c>
      <c r="BW149" s="127" t="s">
        <v>191</v>
      </c>
      <c r="BX149" s="127" t="s">
        <v>320</v>
      </c>
      <c r="BY149" s="127" t="s">
        <v>189</v>
      </c>
      <c r="BZ149" s="127" t="s">
        <v>721</v>
      </c>
    </row>
    <row r="150" spans="2:78" s="121" customFormat="1" outlineLevel="2">
      <c r="B150" s="121" t="s">
        <v>471</v>
      </c>
      <c r="C150" s="121" t="s">
        <v>674</v>
      </c>
      <c r="D150" s="107" t="s">
        <v>195</v>
      </c>
      <c r="F150" s="107" t="s">
        <v>88</v>
      </c>
      <c r="G150" s="107" t="s">
        <v>199</v>
      </c>
      <c r="H150" s="124" t="s">
        <v>783</v>
      </c>
      <c r="I150" s="124"/>
      <c r="J150" s="124"/>
      <c r="K150" s="124" t="s">
        <v>784</v>
      </c>
      <c r="L150" s="124" t="s">
        <v>648</v>
      </c>
      <c r="M150" s="125" t="s">
        <v>183</v>
      </c>
      <c r="N150" s="126">
        <f t="shared" si="16"/>
        <v>2400</v>
      </c>
      <c r="O150" s="127">
        <v>0</v>
      </c>
      <c r="P150" s="127"/>
      <c r="Q150" s="127"/>
      <c r="R150" s="127"/>
      <c r="S150" s="127"/>
      <c r="T150" s="130">
        <v>1200</v>
      </c>
      <c r="U150" s="130">
        <v>1200</v>
      </c>
      <c r="V150" s="127"/>
      <c r="W150" s="127"/>
      <c r="X150" s="127">
        <v>0</v>
      </c>
      <c r="Y150" s="127"/>
      <c r="Z150" s="127"/>
      <c r="AA150" s="127"/>
      <c r="AB150" s="127">
        <v>0</v>
      </c>
      <c r="AC150" s="127"/>
      <c r="AD150" s="127"/>
      <c r="AE150" s="127"/>
      <c r="AF150" s="127"/>
      <c r="AG150" s="127">
        <v>0</v>
      </c>
      <c r="AH150" s="127"/>
      <c r="AI150" s="127"/>
      <c r="AJ150" s="127"/>
      <c r="AK150" s="127">
        <v>0</v>
      </c>
      <c r="AL150" s="127"/>
      <c r="AM150" s="127"/>
      <c r="AN150" s="127"/>
      <c r="AO150" s="127">
        <v>0</v>
      </c>
      <c r="AP150" s="127"/>
      <c r="AQ150" s="127"/>
      <c r="AR150" s="127"/>
      <c r="AS150" s="127"/>
      <c r="AT150" s="127">
        <v>0</v>
      </c>
      <c r="AU150" s="127"/>
      <c r="AV150" s="127"/>
      <c r="AW150" s="127"/>
      <c r="AX150" s="127">
        <v>0</v>
      </c>
      <c r="AY150" s="127"/>
      <c r="AZ150" s="127"/>
      <c r="BA150" s="127"/>
      <c r="BB150" s="127">
        <v>0</v>
      </c>
      <c r="BC150" s="127"/>
      <c r="BD150" s="127"/>
      <c r="BE150" s="127"/>
      <c r="BF150" s="127"/>
      <c r="BG150" s="127">
        <v>0</v>
      </c>
      <c r="BH150" s="127"/>
      <c r="BI150" s="127"/>
      <c r="BJ150" s="127"/>
      <c r="BK150" s="127">
        <v>0</v>
      </c>
      <c r="BL150" s="127"/>
      <c r="BM150" s="127"/>
      <c r="BN150" s="127"/>
      <c r="BO150" s="127"/>
      <c r="BP150" s="127" t="s">
        <v>785</v>
      </c>
      <c r="BQ150" s="127" t="s">
        <v>786</v>
      </c>
      <c r="BR150" s="127" t="s">
        <v>787</v>
      </c>
      <c r="BS150" s="127" t="s">
        <v>788</v>
      </c>
      <c r="BT150" s="127" t="s">
        <v>188</v>
      </c>
      <c r="BU150" s="127" t="s">
        <v>189</v>
      </c>
      <c r="BV150" s="127" t="s">
        <v>229</v>
      </c>
      <c r="BW150" s="127" t="s">
        <v>191</v>
      </c>
      <c r="BX150" s="127" t="s">
        <v>691</v>
      </c>
      <c r="BY150" s="127" t="s">
        <v>189</v>
      </c>
      <c r="BZ150" s="127" t="s">
        <v>789</v>
      </c>
    </row>
    <row r="151" spans="2:78" s="121" customFormat="1" outlineLevel="2">
      <c r="B151" s="121" t="s">
        <v>471</v>
      </c>
      <c r="C151" s="121" t="s">
        <v>674</v>
      </c>
      <c r="D151" s="107"/>
      <c r="F151" s="107" t="s">
        <v>89</v>
      </c>
      <c r="G151" s="107" t="s">
        <v>199</v>
      </c>
      <c r="H151" s="124" t="s">
        <v>783</v>
      </c>
      <c r="I151" s="124"/>
      <c r="J151" s="124"/>
      <c r="K151" s="124" t="s">
        <v>790</v>
      </c>
      <c r="L151" s="124" t="s">
        <v>648</v>
      </c>
      <c r="M151" s="125" t="s">
        <v>183</v>
      </c>
      <c r="N151" s="126">
        <f>SUM(O151:BO151)</f>
        <v>2800</v>
      </c>
      <c r="O151" s="127">
        <v>0</v>
      </c>
      <c r="P151" s="127"/>
      <c r="Q151" s="127"/>
      <c r="R151" s="127"/>
      <c r="S151" s="127"/>
      <c r="T151" s="130">
        <v>1400</v>
      </c>
      <c r="U151" s="130">
        <v>1400</v>
      </c>
      <c r="V151" s="127"/>
      <c r="W151" s="127"/>
      <c r="X151" s="127">
        <v>0</v>
      </c>
      <c r="Y151" s="127"/>
      <c r="Z151" s="127"/>
      <c r="AA151" s="127"/>
      <c r="AB151" s="127">
        <v>0</v>
      </c>
      <c r="AC151" s="127"/>
      <c r="AD151" s="127"/>
      <c r="AE151" s="127"/>
      <c r="AF151" s="127"/>
      <c r="AG151" s="127">
        <v>0</v>
      </c>
      <c r="AH151" s="127"/>
      <c r="AI151" s="127"/>
      <c r="AJ151" s="127"/>
      <c r="AK151" s="127">
        <v>0</v>
      </c>
      <c r="AL151" s="127"/>
      <c r="AM151" s="127"/>
      <c r="AN151" s="127"/>
      <c r="AO151" s="127">
        <v>0</v>
      </c>
      <c r="AP151" s="127"/>
      <c r="AQ151" s="127"/>
      <c r="AR151" s="127"/>
      <c r="AS151" s="127"/>
      <c r="AT151" s="127">
        <v>0</v>
      </c>
      <c r="AU151" s="127"/>
      <c r="AV151" s="127"/>
      <c r="AW151" s="127"/>
      <c r="AX151" s="127">
        <v>0</v>
      </c>
      <c r="AY151" s="127"/>
      <c r="AZ151" s="127"/>
      <c r="BA151" s="127"/>
      <c r="BB151" s="127">
        <v>0</v>
      </c>
      <c r="BC151" s="127"/>
      <c r="BD151" s="127"/>
      <c r="BE151" s="127"/>
      <c r="BF151" s="127"/>
      <c r="BG151" s="127">
        <v>0</v>
      </c>
      <c r="BH151" s="127"/>
      <c r="BI151" s="127"/>
      <c r="BJ151" s="127"/>
      <c r="BK151" s="127">
        <v>0</v>
      </c>
      <c r="BL151" s="127"/>
      <c r="BM151" s="127"/>
      <c r="BN151" s="127"/>
      <c r="BO151" s="127"/>
      <c r="BP151" s="127" t="s">
        <v>785</v>
      </c>
      <c r="BQ151" s="127" t="s">
        <v>786</v>
      </c>
      <c r="BR151" s="127" t="s">
        <v>787</v>
      </c>
      <c r="BS151" s="127" t="s">
        <v>788</v>
      </c>
      <c r="BT151" s="127" t="s">
        <v>188</v>
      </c>
      <c r="BU151" s="127" t="s">
        <v>189</v>
      </c>
      <c r="BV151" s="127" t="s">
        <v>229</v>
      </c>
      <c r="BW151" s="127" t="s">
        <v>191</v>
      </c>
      <c r="BX151" s="127" t="s">
        <v>691</v>
      </c>
      <c r="BY151" s="127" t="s">
        <v>189</v>
      </c>
      <c r="BZ151" s="127" t="s">
        <v>789</v>
      </c>
    </row>
    <row r="152" spans="2:78" s="121" customFormat="1" ht="12" customHeight="1" outlineLevel="2">
      <c r="B152" s="121" t="s">
        <v>471</v>
      </c>
      <c r="C152" s="121" t="s">
        <v>674</v>
      </c>
      <c r="F152" s="107" t="s">
        <v>89</v>
      </c>
      <c r="G152" s="107" t="s">
        <v>199</v>
      </c>
      <c r="H152" s="122" t="s">
        <v>791</v>
      </c>
      <c r="I152" s="123" t="s">
        <v>792</v>
      </c>
      <c r="J152" s="124"/>
      <c r="K152" s="124" t="s">
        <v>793</v>
      </c>
      <c r="L152" s="124" t="s">
        <v>648</v>
      </c>
      <c r="M152" s="151" t="s">
        <v>249</v>
      </c>
      <c r="N152" s="126">
        <f t="shared" si="16"/>
        <v>19000</v>
      </c>
      <c r="O152" s="127"/>
      <c r="P152" s="127"/>
      <c r="Q152" s="127"/>
      <c r="R152" s="127"/>
      <c r="S152" s="127"/>
      <c r="T152" s="127">
        <v>0</v>
      </c>
      <c r="U152" s="127"/>
      <c r="V152" s="127"/>
      <c r="W152" s="127"/>
      <c r="X152" s="127">
        <v>0</v>
      </c>
      <c r="Y152" s="127"/>
      <c r="Z152" s="127"/>
      <c r="AA152" s="127"/>
      <c r="AB152" s="127">
        <v>0</v>
      </c>
      <c r="AC152" s="127"/>
      <c r="AD152" s="127"/>
      <c r="AE152" s="127"/>
      <c r="AF152" s="127"/>
      <c r="AG152" s="127"/>
      <c r="AH152" s="127"/>
      <c r="AI152" s="130">
        <v>2500</v>
      </c>
      <c r="AJ152" s="130">
        <v>2500</v>
      </c>
      <c r="AK152" s="130">
        <v>2500</v>
      </c>
      <c r="AL152" s="130">
        <v>2500</v>
      </c>
      <c r="AM152" s="130">
        <v>2500</v>
      </c>
      <c r="AN152" s="130">
        <v>2500</v>
      </c>
      <c r="AO152" s="130">
        <v>2500</v>
      </c>
      <c r="AP152" s="130">
        <v>1500</v>
      </c>
      <c r="AQ152" s="127"/>
      <c r="AR152" s="127"/>
      <c r="AS152" s="127"/>
      <c r="AT152" s="127">
        <v>0</v>
      </c>
      <c r="AU152" s="127"/>
      <c r="AV152" s="127"/>
      <c r="AW152" s="127"/>
      <c r="AX152" s="127">
        <v>0</v>
      </c>
      <c r="AY152" s="127"/>
      <c r="AZ152" s="127"/>
      <c r="BA152" s="127"/>
      <c r="BB152" s="127">
        <v>0</v>
      </c>
      <c r="BC152" s="127"/>
      <c r="BD152" s="127"/>
      <c r="BE152" s="127"/>
      <c r="BF152" s="127"/>
      <c r="BG152" s="127">
        <v>0</v>
      </c>
      <c r="BH152" s="127"/>
      <c r="BI152" s="127"/>
      <c r="BJ152" s="127"/>
      <c r="BK152" s="127">
        <v>0</v>
      </c>
      <c r="BL152" s="127"/>
      <c r="BM152" s="127"/>
      <c r="BN152" s="127"/>
      <c r="BO152" s="127"/>
      <c r="BP152" s="127" t="s">
        <v>794</v>
      </c>
      <c r="BQ152" s="127" t="s">
        <v>795</v>
      </c>
      <c r="BR152" s="127" t="s">
        <v>796</v>
      </c>
      <c r="BS152" s="127" t="s">
        <v>797</v>
      </c>
      <c r="BT152" s="127" t="s">
        <v>188</v>
      </c>
      <c r="BU152" s="127" t="s">
        <v>189</v>
      </c>
      <c r="BV152" s="127" t="s">
        <v>254</v>
      </c>
      <c r="BW152" s="127" t="s">
        <v>191</v>
      </c>
      <c r="BX152" s="127" t="s">
        <v>189</v>
      </c>
      <c r="BY152" s="127" t="s">
        <v>189</v>
      </c>
      <c r="BZ152" s="128" t="s">
        <v>798</v>
      </c>
    </row>
    <row r="153" spans="2:78" s="121" customFormat="1" outlineLevel="2">
      <c r="B153" s="121" t="s">
        <v>471</v>
      </c>
      <c r="C153" s="121" t="s">
        <v>674</v>
      </c>
      <c r="D153" s="107" t="s">
        <v>195</v>
      </c>
      <c r="E153" s="148" t="s">
        <v>799</v>
      </c>
      <c r="F153" s="107" t="s">
        <v>88</v>
      </c>
      <c r="G153" s="107" t="s">
        <v>199</v>
      </c>
      <c r="H153" s="122" t="s">
        <v>791</v>
      </c>
      <c r="I153" s="123" t="s">
        <v>792</v>
      </c>
      <c r="J153" s="124"/>
      <c r="K153" s="124" t="s">
        <v>793</v>
      </c>
      <c r="L153" s="124" t="s">
        <v>648</v>
      </c>
      <c r="M153" s="151" t="s">
        <v>249</v>
      </c>
      <c r="N153" s="126">
        <f t="shared" si="16"/>
        <v>2000</v>
      </c>
      <c r="O153" s="127"/>
      <c r="P153" s="127"/>
      <c r="Q153" s="127"/>
      <c r="R153" s="127"/>
      <c r="S153" s="127"/>
      <c r="T153" s="127">
        <v>0</v>
      </c>
      <c r="U153" s="127"/>
      <c r="V153" s="127"/>
      <c r="W153" s="127"/>
      <c r="X153" s="127">
        <v>0</v>
      </c>
      <c r="Y153" s="127"/>
      <c r="Z153" s="127"/>
      <c r="AA153" s="127"/>
      <c r="AB153" s="127">
        <v>0</v>
      </c>
      <c r="AC153" s="127"/>
      <c r="AD153" s="127"/>
      <c r="AE153" s="130">
        <v>1000</v>
      </c>
      <c r="AF153" s="130">
        <v>1000</v>
      </c>
      <c r="AG153" s="127">
        <v>0</v>
      </c>
      <c r="AH153" s="127"/>
      <c r="AI153" s="127"/>
      <c r="AJ153" s="127"/>
      <c r="AK153" s="127">
        <v>0</v>
      </c>
      <c r="AL153" s="127"/>
      <c r="AM153" s="127"/>
      <c r="AN153" s="127"/>
      <c r="AO153" s="127">
        <v>0</v>
      </c>
      <c r="AP153" s="127"/>
      <c r="AQ153" s="127"/>
      <c r="AR153" s="127"/>
      <c r="AS153" s="127"/>
      <c r="AT153" s="127">
        <v>0</v>
      </c>
      <c r="AU153" s="127"/>
      <c r="AV153" s="127"/>
      <c r="AW153" s="127"/>
      <c r="AX153" s="127">
        <v>0</v>
      </c>
      <c r="AY153" s="127"/>
      <c r="AZ153" s="127"/>
      <c r="BA153" s="127"/>
      <c r="BB153" s="127">
        <v>0</v>
      </c>
      <c r="BC153" s="127"/>
      <c r="BD153" s="127"/>
      <c r="BE153" s="127"/>
      <c r="BF153" s="127"/>
      <c r="BG153" s="127">
        <v>0</v>
      </c>
      <c r="BH153" s="127"/>
      <c r="BI153" s="127"/>
      <c r="BJ153" s="127"/>
      <c r="BK153" s="127">
        <v>0</v>
      </c>
      <c r="BL153" s="127"/>
      <c r="BM153" s="127"/>
      <c r="BN153" s="127"/>
      <c r="BO153" s="127"/>
      <c r="BP153" s="127" t="s">
        <v>794</v>
      </c>
      <c r="BQ153" s="127" t="s">
        <v>795</v>
      </c>
      <c r="BR153" s="127" t="s">
        <v>796</v>
      </c>
      <c r="BS153" s="127" t="s">
        <v>797</v>
      </c>
      <c r="BT153" s="127" t="s">
        <v>188</v>
      </c>
      <c r="BU153" s="127" t="s">
        <v>189</v>
      </c>
      <c r="BV153" s="127" t="s">
        <v>254</v>
      </c>
      <c r="BW153" s="127" t="s">
        <v>191</v>
      </c>
      <c r="BX153" s="127" t="s">
        <v>189</v>
      </c>
      <c r="BY153" s="127" t="s">
        <v>189</v>
      </c>
      <c r="BZ153" s="128" t="s">
        <v>798</v>
      </c>
    </row>
    <row r="154" spans="2:78" s="121" customFormat="1" outlineLevel="2">
      <c r="B154" s="121" t="s">
        <v>471</v>
      </c>
      <c r="C154" s="121" t="s">
        <v>674</v>
      </c>
      <c r="D154" s="121" t="s">
        <v>195</v>
      </c>
      <c r="F154" s="107" t="s">
        <v>88</v>
      </c>
      <c r="H154" s="122" t="s">
        <v>800</v>
      </c>
      <c r="I154" s="123" t="s">
        <v>801</v>
      </c>
      <c r="J154" s="124"/>
      <c r="K154" s="124" t="s">
        <v>802</v>
      </c>
      <c r="L154" s="124" t="s">
        <v>648</v>
      </c>
      <c r="M154" s="151" t="s">
        <v>249</v>
      </c>
      <c r="N154" s="126">
        <f t="shared" si="16"/>
        <v>6600</v>
      </c>
      <c r="O154" s="127">
        <v>0</v>
      </c>
      <c r="P154" s="127"/>
      <c r="Q154" s="127"/>
      <c r="R154" s="127"/>
      <c r="S154" s="127"/>
      <c r="T154" s="127">
        <v>0</v>
      </c>
      <c r="U154" s="127"/>
      <c r="V154" s="127"/>
      <c r="W154" s="127"/>
      <c r="X154" s="127">
        <v>0</v>
      </c>
      <c r="Y154" s="127"/>
      <c r="Z154" s="127"/>
      <c r="AA154" s="127"/>
      <c r="AB154" s="127">
        <v>0</v>
      </c>
      <c r="AC154" s="127"/>
      <c r="AD154" s="127"/>
      <c r="AE154" s="127"/>
      <c r="AF154" s="127"/>
      <c r="AG154" s="127">
        <v>0</v>
      </c>
      <c r="AH154" s="127"/>
      <c r="AI154" s="127"/>
      <c r="AJ154" s="127"/>
      <c r="AK154" s="127">
        <v>0</v>
      </c>
      <c r="AL154" s="127"/>
      <c r="AM154" s="127"/>
      <c r="AN154" s="127"/>
      <c r="AO154" s="127">
        <v>0</v>
      </c>
      <c r="AP154" s="127"/>
      <c r="AQ154" s="127"/>
      <c r="AR154" s="127"/>
      <c r="AS154" s="127"/>
      <c r="AT154" s="127">
        <v>0</v>
      </c>
      <c r="AU154" s="127"/>
      <c r="AV154" s="127"/>
      <c r="AW154" s="127"/>
      <c r="AX154" s="127"/>
      <c r="AY154" s="127">
        <v>1100</v>
      </c>
      <c r="AZ154" s="127">
        <v>1100</v>
      </c>
      <c r="BA154" s="127"/>
      <c r="BB154" s="127">
        <v>1100</v>
      </c>
      <c r="BC154" s="127">
        <v>1100</v>
      </c>
      <c r="BD154" s="127"/>
      <c r="BE154" s="127">
        <v>1100</v>
      </c>
      <c r="BF154" s="127"/>
      <c r="BG154" s="127">
        <v>1100</v>
      </c>
      <c r="BH154" s="127"/>
      <c r="BI154" s="127"/>
      <c r="BJ154" s="127"/>
      <c r="BK154" s="127">
        <v>0</v>
      </c>
      <c r="BL154" s="127"/>
      <c r="BM154" s="127"/>
      <c r="BN154" s="127"/>
      <c r="BO154" s="127"/>
      <c r="BP154" s="127" t="s">
        <v>803</v>
      </c>
      <c r="BQ154" s="127" t="s">
        <v>795</v>
      </c>
      <c r="BR154" s="127" t="s">
        <v>804</v>
      </c>
      <c r="BS154" s="127" t="s">
        <v>805</v>
      </c>
      <c r="BT154" s="127" t="s">
        <v>303</v>
      </c>
      <c r="BU154" s="127" t="s">
        <v>806</v>
      </c>
      <c r="BV154" s="127" t="s">
        <v>205</v>
      </c>
      <c r="BW154" s="127" t="s">
        <v>191</v>
      </c>
      <c r="BX154" s="127" t="s">
        <v>639</v>
      </c>
      <c r="BY154" s="127" t="s">
        <v>807</v>
      </c>
      <c r="BZ154" s="128" t="s">
        <v>257</v>
      </c>
    </row>
    <row r="155" spans="2:78" s="121" customFormat="1" outlineLevel="2">
      <c r="B155" s="121" t="s">
        <v>471</v>
      </c>
      <c r="C155" s="107" t="s">
        <v>674</v>
      </c>
      <c r="D155" s="121" t="s">
        <v>177</v>
      </c>
      <c r="F155" s="107" t="s">
        <v>88</v>
      </c>
      <c r="G155" s="107"/>
      <c r="H155" s="122" t="s">
        <v>514</v>
      </c>
      <c r="I155" s="123" t="s">
        <v>515</v>
      </c>
      <c r="J155" s="124"/>
      <c r="K155" s="124" t="s">
        <v>524</v>
      </c>
      <c r="L155" s="124" t="s">
        <v>491</v>
      </c>
      <c r="M155" s="125" t="s">
        <v>183</v>
      </c>
      <c r="N155" s="126">
        <f t="shared" si="16"/>
        <v>16500</v>
      </c>
      <c r="O155" s="127"/>
      <c r="P155" s="127">
        <v>1100</v>
      </c>
      <c r="Q155" s="127">
        <v>1100</v>
      </c>
      <c r="R155" s="127">
        <v>1100</v>
      </c>
      <c r="S155" s="127">
        <v>1100</v>
      </c>
      <c r="T155" s="127">
        <v>1100</v>
      </c>
      <c r="U155" s="127">
        <v>1100</v>
      </c>
      <c r="V155" s="127">
        <v>1100</v>
      </c>
      <c r="W155" s="127">
        <v>1100</v>
      </c>
      <c r="X155" s="127">
        <v>1100</v>
      </c>
      <c r="Y155" s="127">
        <v>1100</v>
      </c>
      <c r="Z155" s="127">
        <v>1100</v>
      </c>
      <c r="AA155" s="127">
        <v>1100</v>
      </c>
      <c r="AB155" s="127">
        <v>1100</v>
      </c>
      <c r="AC155" s="127">
        <v>1100</v>
      </c>
      <c r="AD155" s="127">
        <v>1100</v>
      </c>
      <c r="AE155" s="127"/>
      <c r="AF155" s="127"/>
      <c r="AG155" s="127"/>
      <c r="AH155" s="127"/>
      <c r="AI155" s="127"/>
      <c r="AJ155" s="127"/>
      <c r="AK155" s="127">
        <v>0</v>
      </c>
      <c r="AL155" s="127"/>
      <c r="AM155" s="127"/>
      <c r="AN155" s="127"/>
      <c r="AO155" s="127">
        <v>0</v>
      </c>
      <c r="AP155" s="127"/>
      <c r="AQ155" s="127"/>
      <c r="AR155" s="127"/>
      <c r="AS155" s="127"/>
      <c r="AT155" s="127">
        <v>0</v>
      </c>
      <c r="AU155" s="127"/>
      <c r="AV155" s="127"/>
      <c r="AW155" s="127"/>
      <c r="AX155" s="127">
        <v>0</v>
      </c>
      <c r="AY155" s="127"/>
      <c r="AZ155" s="127"/>
      <c r="BA155" s="127"/>
      <c r="BB155" s="127">
        <v>0</v>
      </c>
      <c r="BC155" s="127"/>
      <c r="BD155" s="127"/>
      <c r="BE155" s="127"/>
      <c r="BF155" s="127"/>
      <c r="BG155" s="127">
        <v>0</v>
      </c>
      <c r="BH155" s="127"/>
      <c r="BI155" s="127"/>
      <c r="BJ155" s="127"/>
      <c r="BK155" s="127">
        <v>0</v>
      </c>
      <c r="BL155" s="127"/>
      <c r="BM155" s="127"/>
      <c r="BN155" s="127"/>
      <c r="BO155" s="127"/>
      <c r="BP155" s="127" t="s">
        <v>517</v>
      </c>
      <c r="BQ155" s="127" t="s">
        <v>518</v>
      </c>
      <c r="BR155" s="127" t="s">
        <v>519</v>
      </c>
      <c r="BS155" s="127" t="s">
        <v>520</v>
      </c>
      <c r="BT155" s="127" t="s">
        <v>188</v>
      </c>
      <c r="BU155" s="127" t="s">
        <v>521</v>
      </c>
      <c r="BV155" s="127" t="s">
        <v>190</v>
      </c>
      <c r="BW155" s="127" t="s">
        <v>191</v>
      </c>
      <c r="BX155" s="127" t="s">
        <v>522</v>
      </c>
      <c r="BY155" s="127" t="s">
        <v>523</v>
      </c>
      <c r="BZ155" s="127" t="s">
        <v>502</v>
      </c>
    </row>
    <row r="156" spans="2:78" s="121" customFormat="1" outlineLevel="2">
      <c r="B156" s="121" t="s">
        <v>471</v>
      </c>
      <c r="C156" s="121" t="s">
        <v>674</v>
      </c>
      <c r="D156" s="107" t="s">
        <v>195</v>
      </c>
      <c r="F156" s="107" t="s">
        <v>88</v>
      </c>
      <c r="H156" s="122" t="s">
        <v>808</v>
      </c>
      <c r="I156" s="124"/>
      <c r="J156" s="124"/>
      <c r="K156" s="124" t="s">
        <v>763</v>
      </c>
      <c r="L156" s="124" t="s">
        <v>648</v>
      </c>
      <c r="M156" s="125" t="s">
        <v>183</v>
      </c>
      <c r="N156" s="126">
        <f t="shared" si="16"/>
        <v>3600</v>
      </c>
      <c r="O156" s="127">
        <v>0</v>
      </c>
      <c r="P156" s="127"/>
      <c r="Q156" s="127"/>
      <c r="R156" s="127"/>
      <c r="S156" s="127"/>
      <c r="T156" s="127">
        <v>0</v>
      </c>
      <c r="U156" s="127"/>
      <c r="V156" s="127"/>
      <c r="W156" s="127"/>
      <c r="X156" s="127">
        <v>0</v>
      </c>
      <c r="Y156" s="127"/>
      <c r="Z156" s="127"/>
      <c r="AA156" s="127"/>
      <c r="AB156" s="127"/>
      <c r="AC156" s="127"/>
      <c r="AD156" s="130">
        <v>1200</v>
      </c>
      <c r="AE156" s="127"/>
      <c r="AF156" s="127"/>
      <c r="AG156" s="130">
        <v>1200</v>
      </c>
      <c r="AH156" s="127"/>
      <c r="AI156" s="127"/>
      <c r="AJ156" s="130">
        <v>1200</v>
      </c>
      <c r="AK156" s="127">
        <v>0</v>
      </c>
      <c r="AL156" s="127"/>
      <c r="AM156" s="127"/>
      <c r="AN156" s="127"/>
      <c r="AO156" s="127">
        <v>0</v>
      </c>
      <c r="AP156" s="127"/>
      <c r="AQ156" s="127"/>
      <c r="AR156" s="127"/>
      <c r="AS156" s="127"/>
      <c r="AT156" s="127">
        <v>0</v>
      </c>
      <c r="AU156" s="127"/>
      <c r="AV156" s="127"/>
      <c r="AW156" s="127"/>
      <c r="AX156" s="127">
        <v>0</v>
      </c>
      <c r="AY156" s="127"/>
      <c r="AZ156" s="127"/>
      <c r="BA156" s="127"/>
      <c r="BB156" s="127">
        <v>0</v>
      </c>
      <c r="BC156" s="127"/>
      <c r="BD156" s="127"/>
      <c r="BE156" s="127"/>
      <c r="BF156" s="127"/>
      <c r="BG156" s="127">
        <v>0</v>
      </c>
      <c r="BH156" s="127"/>
      <c r="BI156" s="127"/>
      <c r="BJ156" s="127"/>
      <c r="BK156" s="127">
        <v>0</v>
      </c>
      <c r="BL156" s="127"/>
      <c r="BM156" s="127"/>
      <c r="BN156" s="127"/>
      <c r="BO156" s="127"/>
      <c r="BP156" s="127" t="s">
        <v>809</v>
      </c>
      <c r="BQ156" s="127" t="s">
        <v>340</v>
      </c>
      <c r="BR156" s="127" t="s">
        <v>810</v>
      </c>
      <c r="BS156" s="127" t="s">
        <v>811</v>
      </c>
      <c r="BT156" s="127" t="s">
        <v>188</v>
      </c>
      <c r="BU156" s="127" t="s">
        <v>189</v>
      </c>
      <c r="BV156" s="127" t="s">
        <v>229</v>
      </c>
      <c r="BW156" s="127" t="s">
        <v>191</v>
      </c>
      <c r="BX156" s="127" t="s">
        <v>812</v>
      </c>
      <c r="BY156" s="127" t="s">
        <v>813</v>
      </c>
      <c r="BZ156" s="127" t="s">
        <v>814</v>
      </c>
    </row>
    <row r="157" spans="2:78" s="121" customFormat="1" outlineLevel="2">
      <c r="B157" s="121" t="s">
        <v>471</v>
      </c>
      <c r="C157" s="121" t="s">
        <v>674</v>
      </c>
      <c r="D157" s="107"/>
      <c r="F157" s="107" t="s">
        <v>89</v>
      </c>
      <c r="H157" s="122" t="s">
        <v>808</v>
      </c>
      <c r="I157" s="124"/>
      <c r="J157" s="124"/>
      <c r="K157" s="124" t="s">
        <v>815</v>
      </c>
      <c r="L157" s="124" t="s">
        <v>648</v>
      </c>
      <c r="M157" s="125" t="s">
        <v>183</v>
      </c>
      <c r="N157" s="126">
        <f>SUM(O157:BO157)</f>
        <v>2400</v>
      </c>
      <c r="O157" s="127">
        <v>0</v>
      </c>
      <c r="P157" s="127"/>
      <c r="Q157" s="127"/>
      <c r="R157" s="127"/>
      <c r="S157" s="127"/>
      <c r="T157" s="127">
        <v>0</v>
      </c>
      <c r="U157" s="127"/>
      <c r="V157" s="127"/>
      <c r="W157" s="127"/>
      <c r="X157" s="127">
        <v>0</v>
      </c>
      <c r="Y157" s="127"/>
      <c r="Z157" s="127"/>
      <c r="AA157" s="127"/>
      <c r="AB157" s="130">
        <v>1200</v>
      </c>
      <c r="AC157" s="127"/>
      <c r="AD157" s="130">
        <v>1200</v>
      </c>
      <c r="AE157" s="127"/>
      <c r="AF157" s="127"/>
      <c r="AG157" s="127">
        <v>0</v>
      </c>
      <c r="AH157" s="127"/>
      <c r="AI157" s="127"/>
      <c r="AJ157" s="127"/>
      <c r="AK157" s="127">
        <v>0</v>
      </c>
      <c r="AL157" s="127"/>
      <c r="AM157" s="127"/>
      <c r="AN157" s="127"/>
      <c r="AO157" s="127">
        <v>0</v>
      </c>
      <c r="AP157" s="127"/>
      <c r="AQ157" s="127"/>
      <c r="AR157" s="127"/>
      <c r="AS157" s="127"/>
      <c r="AT157" s="127">
        <v>0</v>
      </c>
      <c r="AU157" s="127"/>
      <c r="AV157" s="127"/>
      <c r="AW157" s="127"/>
      <c r="AX157" s="127">
        <v>0</v>
      </c>
      <c r="AY157" s="127"/>
      <c r="AZ157" s="127"/>
      <c r="BA157" s="127"/>
      <c r="BB157" s="127">
        <v>0</v>
      </c>
      <c r="BC157" s="127"/>
      <c r="BD157" s="127"/>
      <c r="BE157" s="127"/>
      <c r="BF157" s="127"/>
      <c r="BG157" s="127">
        <v>0</v>
      </c>
      <c r="BH157" s="127"/>
      <c r="BI157" s="127"/>
      <c r="BJ157" s="127"/>
      <c r="BK157" s="127">
        <v>0</v>
      </c>
      <c r="BL157" s="127"/>
      <c r="BM157" s="127"/>
      <c r="BN157" s="127"/>
      <c r="BO157" s="127"/>
      <c r="BP157" s="127" t="s">
        <v>809</v>
      </c>
      <c r="BQ157" s="127" t="s">
        <v>340</v>
      </c>
      <c r="BR157" s="127" t="s">
        <v>810</v>
      </c>
      <c r="BS157" s="127" t="s">
        <v>811</v>
      </c>
      <c r="BT157" s="127" t="s">
        <v>188</v>
      </c>
      <c r="BU157" s="127" t="s">
        <v>189</v>
      </c>
      <c r="BV157" s="127" t="s">
        <v>229</v>
      </c>
      <c r="BW157" s="127" t="s">
        <v>191</v>
      </c>
      <c r="BX157" s="127" t="s">
        <v>812</v>
      </c>
      <c r="BY157" s="127" t="s">
        <v>813</v>
      </c>
      <c r="BZ157" s="127" t="s">
        <v>814</v>
      </c>
    </row>
    <row r="158" spans="2:78" s="121" customFormat="1" outlineLevel="2">
      <c r="B158" s="121" t="s">
        <v>471</v>
      </c>
      <c r="C158" s="121" t="s">
        <v>674</v>
      </c>
      <c r="D158" s="107" t="s">
        <v>195</v>
      </c>
      <c r="F158" s="107" t="s">
        <v>88</v>
      </c>
      <c r="H158" s="124" t="s">
        <v>816</v>
      </c>
      <c r="I158" s="124"/>
      <c r="J158" s="124"/>
      <c r="K158" s="124" t="s">
        <v>817</v>
      </c>
      <c r="L158" s="124" t="s">
        <v>697</v>
      </c>
      <c r="M158" s="125" t="s">
        <v>183</v>
      </c>
      <c r="N158" s="126">
        <f t="shared" si="16"/>
        <v>4000</v>
      </c>
      <c r="O158" s="127">
        <v>0</v>
      </c>
      <c r="P158" s="127"/>
      <c r="Q158" s="127"/>
      <c r="R158" s="127"/>
      <c r="S158" s="127"/>
      <c r="T158" s="127">
        <v>0</v>
      </c>
      <c r="U158" s="127"/>
      <c r="V158" s="127"/>
      <c r="W158" s="127"/>
      <c r="X158" s="127">
        <v>0</v>
      </c>
      <c r="Y158" s="127"/>
      <c r="Z158" s="127"/>
      <c r="AA158" s="127"/>
      <c r="AB158" s="127">
        <v>0</v>
      </c>
      <c r="AC158" s="127"/>
      <c r="AD158" s="127"/>
      <c r="AE158" s="127"/>
      <c r="AF158" s="127"/>
      <c r="AG158" s="127">
        <v>0</v>
      </c>
      <c r="AH158" s="127"/>
      <c r="AI158" s="127"/>
      <c r="AJ158" s="127"/>
      <c r="AK158" s="127">
        <v>0</v>
      </c>
      <c r="AL158" s="127"/>
      <c r="AM158" s="127"/>
      <c r="AN158" s="127"/>
      <c r="AO158" s="127">
        <v>1000</v>
      </c>
      <c r="AP158" s="127"/>
      <c r="AQ158" s="127">
        <v>1000</v>
      </c>
      <c r="AR158" s="127"/>
      <c r="AS158" s="127">
        <v>1000</v>
      </c>
      <c r="AT158" s="127"/>
      <c r="AU158" s="127">
        <v>1000</v>
      </c>
      <c r="AV158" s="127"/>
      <c r="AW158" s="127"/>
      <c r="AX158" s="127">
        <v>0</v>
      </c>
      <c r="AY158" s="127"/>
      <c r="AZ158" s="127"/>
      <c r="BA158" s="127"/>
      <c r="BB158" s="127">
        <v>0</v>
      </c>
      <c r="BC158" s="127"/>
      <c r="BD158" s="127"/>
      <c r="BE158" s="127"/>
      <c r="BF158" s="127"/>
      <c r="BG158" s="127">
        <v>0</v>
      </c>
      <c r="BH158" s="127"/>
      <c r="BI158" s="127"/>
      <c r="BJ158" s="127"/>
      <c r="BK158" s="127">
        <v>0</v>
      </c>
      <c r="BL158" s="127"/>
      <c r="BM158" s="127"/>
      <c r="BN158" s="127"/>
      <c r="BO158" s="127"/>
      <c r="BP158" s="127" t="s">
        <v>818</v>
      </c>
      <c r="BQ158" s="127" t="s">
        <v>189</v>
      </c>
      <c r="BR158" s="127" t="s">
        <v>189</v>
      </c>
      <c r="BS158" s="127" t="s">
        <v>189</v>
      </c>
      <c r="BT158" s="127" t="s">
        <v>188</v>
      </c>
      <c r="BU158" s="127" t="s">
        <v>189</v>
      </c>
      <c r="BV158" s="127" t="s">
        <v>188</v>
      </c>
      <c r="BW158" s="127" t="s">
        <v>733</v>
      </c>
      <c r="BX158" s="127" t="s">
        <v>320</v>
      </c>
      <c r="BY158" s="127" t="s">
        <v>189</v>
      </c>
      <c r="BZ158" s="155" t="s">
        <v>819</v>
      </c>
    </row>
    <row r="159" spans="2:78" s="121" customFormat="1" outlineLevel="2">
      <c r="B159" s="121" t="s">
        <v>471</v>
      </c>
      <c r="C159" s="121" t="s">
        <v>674</v>
      </c>
      <c r="D159" s="107" t="s">
        <v>195</v>
      </c>
      <c r="F159" s="107" t="s">
        <v>88</v>
      </c>
      <c r="G159" s="107" t="s">
        <v>820</v>
      </c>
      <c r="H159" s="122" t="s">
        <v>821</v>
      </c>
      <c r="I159" s="124" t="s">
        <v>282</v>
      </c>
      <c r="J159" s="124"/>
      <c r="K159" s="124" t="s">
        <v>437</v>
      </c>
      <c r="L159" s="124" t="s">
        <v>273</v>
      </c>
      <c r="M159" s="125" t="s">
        <v>183</v>
      </c>
      <c r="N159" s="126">
        <f t="shared" si="16"/>
        <v>6000</v>
      </c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  <c r="BA159" s="127"/>
      <c r="BB159" s="127"/>
      <c r="BC159" s="127"/>
      <c r="BD159" s="127">
        <v>2000</v>
      </c>
      <c r="BE159" s="127"/>
      <c r="BF159" s="127">
        <v>2000</v>
      </c>
      <c r="BG159" s="127"/>
      <c r="BH159" s="127"/>
      <c r="BI159" s="127"/>
      <c r="BJ159" s="127">
        <v>2000</v>
      </c>
      <c r="BK159" s="127"/>
      <c r="BL159" s="127"/>
      <c r="BM159" s="127"/>
      <c r="BN159" s="127"/>
      <c r="BO159" s="127"/>
      <c r="BP159" s="127"/>
      <c r="BQ159" s="127"/>
      <c r="BR159" s="127"/>
      <c r="BS159" s="127"/>
      <c r="BT159" s="127"/>
      <c r="BU159" s="127"/>
      <c r="BV159" s="127"/>
      <c r="BW159" s="127"/>
      <c r="BX159" s="127"/>
      <c r="BY159" s="127"/>
      <c r="BZ159" s="128"/>
    </row>
    <row r="160" spans="2:78" s="121" customFormat="1" outlineLevel="2">
      <c r="B160" s="121" t="s">
        <v>471</v>
      </c>
      <c r="C160" s="121" t="s">
        <v>674</v>
      </c>
      <c r="D160" s="107"/>
      <c r="F160" s="107" t="s">
        <v>89</v>
      </c>
      <c r="H160" s="122" t="s">
        <v>822</v>
      </c>
      <c r="I160" s="124"/>
      <c r="J160" s="124"/>
      <c r="K160" s="124" t="s">
        <v>823</v>
      </c>
      <c r="L160" s="124" t="s">
        <v>648</v>
      </c>
      <c r="M160" s="125" t="s">
        <v>183</v>
      </c>
      <c r="N160" s="126">
        <f t="shared" si="16"/>
        <v>3000</v>
      </c>
      <c r="O160" s="127"/>
      <c r="P160" s="127"/>
      <c r="Q160" s="127"/>
      <c r="R160" s="127"/>
      <c r="S160" s="127"/>
      <c r="T160" s="127"/>
      <c r="U160" s="127"/>
      <c r="V160" s="127"/>
      <c r="W160" s="127"/>
      <c r="X160" s="130">
        <v>1000</v>
      </c>
      <c r="Y160" s="127"/>
      <c r="Z160" s="130">
        <v>1000</v>
      </c>
      <c r="AA160" s="130">
        <v>1000</v>
      </c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27"/>
      <c r="BD160" s="127"/>
      <c r="BE160" s="127"/>
      <c r="BF160" s="127"/>
      <c r="BG160" s="127"/>
      <c r="BH160" s="127"/>
      <c r="BI160" s="127"/>
      <c r="BJ160" s="127"/>
      <c r="BK160" s="127"/>
      <c r="BL160" s="127"/>
      <c r="BM160" s="127"/>
      <c r="BN160" s="127"/>
      <c r="BO160" s="127"/>
      <c r="BP160" s="127"/>
      <c r="BQ160" s="127"/>
      <c r="BR160" s="127"/>
      <c r="BS160" s="127"/>
      <c r="BT160" s="127"/>
      <c r="BU160" s="127"/>
      <c r="BV160" s="127"/>
      <c r="BW160" s="127"/>
      <c r="BX160" s="127"/>
      <c r="BY160" s="127"/>
      <c r="BZ160" s="128"/>
    </row>
    <row r="161" spans="2:78" s="121" customFormat="1" outlineLevel="2">
      <c r="B161" s="121" t="s">
        <v>471</v>
      </c>
      <c r="C161" s="121" t="s">
        <v>674</v>
      </c>
      <c r="D161" s="107" t="s">
        <v>195</v>
      </c>
      <c r="F161" s="107" t="s">
        <v>88</v>
      </c>
      <c r="G161" s="107" t="s">
        <v>199</v>
      </c>
      <c r="H161" s="122" t="s">
        <v>824</v>
      </c>
      <c r="I161" s="124"/>
      <c r="J161" s="124"/>
      <c r="K161" s="124" t="s">
        <v>768</v>
      </c>
      <c r="L161" s="124" t="s">
        <v>648</v>
      </c>
      <c r="M161" s="125" t="s">
        <v>183</v>
      </c>
      <c r="N161" s="126">
        <f t="shared" si="16"/>
        <v>2400</v>
      </c>
      <c r="O161" s="127"/>
      <c r="P161" s="130">
        <v>1200</v>
      </c>
      <c r="Q161" s="127"/>
      <c r="R161" s="130">
        <v>1200</v>
      </c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>
        <v>0</v>
      </c>
      <c r="AH161" s="127"/>
      <c r="AI161" s="127"/>
      <c r="AJ161" s="127"/>
      <c r="AK161" s="127">
        <v>0</v>
      </c>
      <c r="AL161" s="127"/>
      <c r="AM161" s="127"/>
      <c r="AN161" s="127"/>
      <c r="AO161" s="127">
        <v>0</v>
      </c>
      <c r="AP161" s="127"/>
      <c r="AQ161" s="127"/>
      <c r="AR161" s="127"/>
      <c r="AS161" s="127"/>
      <c r="AT161" s="127">
        <v>0</v>
      </c>
      <c r="AU161" s="127"/>
      <c r="AV161" s="127"/>
      <c r="AW161" s="127"/>
      <c r="AX161" s="127">
        <v>0</v>
      </c>
      <c r="AY161" s="127"/>
      <c r="AZ161" s="127"/>
      <c r="BA161" s="127"/>
      <c r="BB161" s="127">
        <v>0</v>
      </c>
      <c r="BC161" s="127"/>
      <c r="BD161" s="127"/>
      <c r="BE161" s="127"/>
      <c r="BF161" s="127"/>
      <c r="BG161" s="127">
        <v>0</v>
      </c>
      <c r="BH161" s="127"/>
      <c r="BI161" s="127"/>
      <c r="BJ161" s="127"/>
      <c r="BK161" s="127">
        <v>0</v>
      </c>
      <c r="BL161" s="127"/>
      <c r="BM161" s="127"/>
      <c r="BN161" s="127"/>
      <c r="BO161" s="127"/>
      <c r="BP161" s="127" t="s">
        <v>825</v>
      </c>
      <c r="BQ161" s="127" t="s">
        <v>650</v>
      </c>
      <c r="BR161" s="127" t="s">
        <v>826</v>
      </c>
      <c r="BS161" s="127" t="s">
        <v>827</v>
      </c>
      <c r="BT161" s="127" t="s">
        <v>303</v>
      </c>
      <c r="BU161" s="127" t="s">
        <v>189</v>
      </c>
      <c r="BV161" s="127" t="s">
        <v>205</v>
      </c>
      <c r="BW161" s="127" t="s">
        <v>191</v>
      </c>
      <c r="BX161" s="127" t="s">
        <v>828</v>
      </c>
      <c r="BY161" s="127" t="s">
        <v>829</v>
      </c>
      <c r="BZ161" s="128" t="s">
        <v>830</v>
      </c>
    </row>
    <row r="162" spans="2:78" s="121" customFormat="1" outlineLevel="2">
      <c r="B162" s="121" t="s">
        <v>471</v>
      </c>
      <c r="C162" s="121" t="s">
        <v>674</v>
      </c>
      <c r="D162" s="107" t="s">
        <v>195</v>
      </c>
      <c r="F162" s="107" t="s">
        <v>88</v>
      </c>
      <c r="H162" s="122" t="s">
        <v>831</v>
      </c>
      <c r="I162" s="124"/>
      <c r="J162" s="124"/>
      <c r="K162" s="124" t="s">
        <v>768</v>
      </c>
      <c r="L162" s="124" t="s">
        <v>648</v>
      </c>
      <c r="M162" s="125" t="s">
        <v>183</v>
      </c>
      <c r="N162" s="126">
        <f t="shared" si="16"/>
        <v>1200</v>
      </c>
      <c r="O162" s="127">
        <v>0</v>
      </c>
      <c r="P162" s="127"/>
      <c r="Q162" s="127"/>
      <c r="R162" s="127"/>
      <c r="S162" s="127"/>
      <c r="T162" s="127">
        <v>0</v>
      </c>
      <c r="U162" s="127"/>
      <c r="V162" s="127"/>
      <c r="W162" s="127"/>
      <c r="X162" s="127"/>
      <c r="Y162" s="127"/>
      <c r="Z162" s="127"/>
      <c r="AA162" s="127"/>
      <c r="AB162" s="127">
        <v>0</v>
      </c>
      <c r="AC162" s="127"/>
      <c r="AD162" s="127">
        <v>1200</v>
      </c>
      <c r="AE162" s="127"/>
      <c r="AF162" s="127"/>
      <c r="AG162" s="127">
        <v>0</v>
      </c>
      <c r="AH162" s="127"/>
      <c r="AI162" s="127"/>
      <c r="AJ162" s="127"/>
      <c r="AK162" s="127">
        <v>0</v>
      </c>
      <c r="AL162" s="127"/>
      <c r="AM162" s="127"/>
      <c r="AN162" s="127"/>
      <c r="AO162" s="127">
        <v>0</v>
      </c>
      <c r="AP162" s="127"/>
      <c r="AQ162" s="127"/>
      <c r="AR162" s="127"/>
      <c r="AS162" s="127"/>
      <c r="AT162" s="127">
        <v>0</v>
      </c>
      <c r="AU162" s="127"/>
      <c r="AV162" s="127"/>
      <c r="AW162" s="127"/>
      <c r="AX162" s="127">
        <v>0</v>
      </c>
      <c r="AY162" s="127"/>
      <c r="AZ162" s="127"/>
      <c r="BA162" s="127"/>
      <c r="BB162" s="127">
        <v>0</v>
      </c>
      <c r="BC162" s="127"/>
      <c r="BD162" s="127"/>
      <c r="BE162" s="127"/>
      <c r="BF162" s="127"/>
      <c r="BG162" s="127">
        <v>0</v>
      </c>
      <c r="BH162" s="127"/>
      <c r="BI162" s="127"/>
      <c r="BJ162" s="127"/>
      <c r="BK162" s="127">
        <v>0</v>
      </c>
      <c r="BL162" s="127"/>
      <c r="BM162" s="127"/>
      <c r="BN162" s="127"/>
      <c r="BO162" s="127"/>
      <c r="BP162" s="127" t="s">
        <v>832</v>
      </c>
      <c r="BQ162" s="127" t="s">
        <v>650</v>
      </c>
      <c r="BR162" s="127" t="s">
        <v>833</v>
      </c>
      <c r="BS162" s="127" t="s">
        <v>834</v>
      </c>
      <c r="BT162" s="127" t="s">
        <v>188</v>
      </c>
      <c r="BU162" s="127" t="s">
        <v>189</v>
      </c>
      <c r="BV162" s="127" t="s">
        <v>229</v>
      </c>
      <c r="BW162" s="127" t="s">
        <v>343</v>
      </c>
      <c r="BX162" s="127" t="s">
        <v>835</v>
      </c>
      <c r="BY162" s="127" t="s">
        <v>189</v>
      </c>
      <c r="BZ162" s="128" t="s">
        <v>680</v>
      </c>
    </row>
    <row r="163" spans="2:78" s="121" customFormat="1" outlineLevel="2">
      <c r="B163" s="121" t="s">
        <v>471</v>
      </c>
      <c r="C163" s="121" t="s">
        <v>674</v>
      </c>
      <c r="D163" s="145"/>
      <c r="E163" s="145"/>
      <c r="F163" s="149" t="s">
        <v>89</v>
      </c>
      <c r="G163" s="107" t="s">
        <v>199</v>
      </c>
      <c r="H163" s="122" t="s">
        <v>836</v>
      </c>
      <c r="I163" s="124"/>
      <c r="J163" s="124"/>
      <c r="K163" s="124" t="s">
        <v>656</v>
      </c>
      <c r="L163" s="124" t="s">
        <v>648</v>
      </c>
      <c r="M163" s="125" t="s">
        <v>183</v>
      </c>
      <c r="N163" s="126">
        <f t="shared" si="16"/>
        <v>1930</v>
      </c>
      <c r="O163" s="127">
        <v>0</v>
      </c>
      <c r="P163" s="127"/>
      <c r="Q163" s="127"/>
      <c r="R163" s="127"/>
      <c r="S163" s="130">
        <v>900</v>
      </c>
      <c r="T163" s="127"/>
      <c r="U163" s="127"/>
      <c r="V163" s="127"/>
      <c r="W163" s="127"/>
      <c r="X163" s="127">
        <v>0</v>
      </c>
      <c r="Y163" s="127"/>
      <c r="Z163" s="127"/>
      <c r="AA163" s="127"/>
      <c r="AB163" s="127"/>
      <c r="AC163" s="127"/>
      <c r="AD163" s="127"/>
      <c r="AE163" s="127"/>
      <c r="AF163" s="127"/>
      <c r="AG163" s="130">
        <v>1030</v>
      </c>
      <c r="AH163" s="127"/>
      <c r="AI163" s="127"/>
      <c r="AJ163" s="127"/>
      <c r="AK163" s="127">
        <v>0</v>
      </c>
      <c r="AL163" s="127"/>
      <c r="AM163" s="127"/>
      <c r="AN163" s="127"/>
      <c r="AO163" s="127">
        <v>0</v>
      </c>
      <c r="AP163" s="127"/>
      <c r="AQ163" s="127"/>
      <c r="AR163" s="127"/>
      <c r="AS163" s="127"/>
      <c r="AT163" s="127">
        <v>0</v>
      </c>
      <c r="AU163" s="127"/>
      <c r="AV163" s="127"/>
      <c r="AW163" s="127"/>
      <c r="AX163" s="127">
        <v>0</v>
      </c>
      <c r="AY163" s="127"/>
      <c r="AZ163" s="127"/>
      <c r="BA163" s="127"/>
      <c r="BB163" s="127">
        <v>0</v>
      </c>
      <c r="BC163" s="127"/>
      <c r="BD163" s="127"/>
      <c r="BE163" s="127"/>
      <c r="BF163" s="127"/>
      <c r="BG163" s="127">
        <v>0</v>
      </c>
      <c r="BH163" s="127"/>
      <c r="BI163" s="127"/>
      <c r="BJ163" s="127"/>
      <c r="BK163" s="127">
        <v>0</v>
      </c>
      <c r="BL163" s="127"/>
      <c r="BM163" s="127"/>
      <c r="BN163" s="127"/>
      <c r="BO163" s="127"/>
      <c r="BP163" s="127" t="s">
        <v>837</v>
      </c>
      <c r="BQ163" s="127" t="s">
        <v>786</v>
      </c>
      <c r="BR163" s="127" t="s">
        <v>838</v>
      </c>
      <c r="BS163" s="127" t="s">
        <v>839</v>
      </c>
      <c r="BT163" s="127" t="s">
        <v>188</v>
      </c>
      <c r="BU163" s="127" t="s">
        <v>189</v>
      </c>
      <c r="BV163" s="127" t="s">
        <v>205</v>
      </c>
      <c r="BW163" s="127" t="s">
        <v>191</v>
      </c>
      <c r="BX163" s="127" t="s">
        <v>840</v>
      </c>
      <c r="BY163" s="127" t="s">
        <v>189</v>
      </c>
      <c r="BZ163" s="127" t="s">
        <v>189</v>
      </c>
    </row>
    <row r="164" spans="2:78" s="121" customFormat="1" outlineLevel="2">
      <c r="B164" s="121" t="s">
        <v>471</v>
      </c>
      <c r="C164" s="121" t="s">
        <v>674</v>
      </c>
      <c r="D164" s="145"/>
      <c r="F164" s="149" t="s">
        <v>89</v>
      </c>
      <c r="G164" s="107" t="s">
        <v>199</v>
      </c>
      <c r="H164" s="122" t="s">
        <v>841</v>
      </c>
      <c r="I164" s="124"/>
      <c r="J164" s="124"/>
      <c r="K164" s="124" t="s">
        <v>815</v>
      </c>
      <c r="L164" s="124" t="s">
        <v>648</v>
      </c>
      <c r="M164" s="125" t="s">
        <v>183</v>
      </c>
      <c r="N164" s="126">
        <f t="shared" si="16"/>
        <v>300</v>
      </c>
      <c r="O164" s="127"/>
      <c r="P164" s="127"/>
      <c r="Q164" s="127"/>
      <c r="R164" s="127"/>
      <c r="S164" s="127"/>
      <c r="T164" s="127">
        <v>0</v>
      </c>
      <c r="U164" s="127"/>
      <c r="V164" s="127"/>
      <c r="W164" s="127"/>
      <c r="X164" s="127"/>
      <c r="Y164" s="127"/>
      <c r="Z164" s="127"/>
      <c r="AA164" s="130">
        <v>300</v>
      </c>
      <c r="AB164" s="127">
        <v>0</v>
      </c>
      <c r="AC164" s="127"/>
      <c r="AD164" s="127"/>
      <c r="AE164" s="127"/>
      <c r="AF164" s="127"/>
      <c r="AG164" s="127">
        <v>0</v>
      </c>
      <c r="AH164" s="127"/>
      <c r="AI164" s="127"/>
      <c r="AJ164" s="127"/>
      <c r="AK164" s="127">
        <v>0</v>
      </c>
      <c r="AL164" s="127"/>
      <c r="AM164" s="127"/>
      <c r="AN164" s="127"/>
      <c r="AO164" s="127">
        <v>0</v>
      </c>
      <c r="AP164" s="127"/>
      <c r="AQ164" s="127"/>
      <c r="AR164" s="127"/>
      <c r="AS164" s="127"/>
      <c r="AT164" s="127">
        <v>0</v>
      </c>
      <c r="AU164" s="127"/>
      <c r="AV164" s="127"/>
      <c r="AW164" s="127"/>
      <c r="AX164" s="127">
        <v>0</v>
      </c>
      <c r="AY164" s="127"/>
      <c r="AZ164" s="127"/>
      <c r="BA164" s="127"/>
      <c r="BB164" s="127">
        <v>0</v>
      </c>
      <c r="BC164" s="127"/>
      <c r="BD164" s="127"/>
      <c r="BE164" s="127"/>
      <c r="BF164" s="127"/>
      <c r="BG164" s="127">
        <v>0</v>
      </c>
      <c r="BH164" s="127"/>
      <c r="BI164" s="127"/>
      <c r="BJ164" s="127"/>
      <c r="BK164" s="127">
        <v>0</v>
      </c>
      <c r="BL164" s="127"/>
      <c r="BM164" s="127"/>
      <c r="BN164" s="127"/>
      <c r="BO164" s="127"/>
      <c r="BP164" s="127" t="s">
        <v>842</v>
      </c>
      <c r="BQ164" s="127" t="s">
        <v>741</v>
      </c>
      <c r="BR164" s="127" t="s">
        <v>843</v>
      </c>
      <c r="BS164" s="127" t="s">
        <v>844</v>
      </c>
      <c r="BT164" s="127" t="s">
        <v>188</v>
      </c>
      <c r="BU164" s="127" t="s">
        <v>189</v>
      </c>
      <c r="BV164" s="127" t="s">
        <v>205</v>
      </c>
      <c r="BW164" s="127" t="s">
        <v>343</v>
      </c>
      <c r="BX164" s="127" t="s">
        <v>189</v>
      </c>
      <c r="BY164" s="127" t="s">
        <v>189</v>
      </c>
      <c r="BZ164" s="127" t="s">
        <v>189</v>
      </c>
    </row>
    <row r="165" spans="2:78" s="121" customFormat="1" outlineLevel="2">
      <c r="B165" s="121" t="s">
        <v>471</v>
      </c>
      <c r="C165" s="121" t="s">
        <v>674</v>
      </c>
      <c r="D165" s="145"/>
      <c r="E165" s="145"/>
      <c r="F165" s="149" t="s">
        <v>89</v>
      </c>
      <c r="G165" s="107" t="s">
        <v>199</v>
      </c>
      <c r="H165" s="122" t="s">
        <v>845</v>
      </c>
      <c r="I165" s="124"/>
      <c r="J165" s="124"/>
      <c r="K165" s="124" t="s">
        <v>815</v>
      </c>
      <c r="L165" s="124" t="s">
        <v>648</v>
      </c>
      <c r="M165" s="125" t="s">
        <v>183</v>
      </c>
      <c r="N165" s="126">
        <f t="shared" si="16"/>
        <v>400</v>
      </c>
      <c r="O165" s="127">
        <v>0</v>
      </c>
      <c r="P165" s="127"/>
      <c r="Q165" s="127"/>
      <c r="R165" s="127"/>
      <c r="S165" s="127"/>
      <c r="T165" s="127">
        <v>0</v>
      </c>
      <c r="U165" s="127"/>
      <c r="V165" s="127"/>
      <c r="W165" s="127"/>
      <c r="X165" s="130">
        <v>400</v>
      </c>
      <c r="Y165" s="127"/>
      <c r="Z165" s="127"/>
      <c r="AA165" s="127"/>
      <c r="AB165" s="127">
        <v>0</v>
      </c>
      <c r="AC165" s="127"/>
      <c r="AD165" s="127"/>
      <c r="AE165" s="127"/>
      <c r="AF165" s="127"/>
      <c r="AG165" s="127">
        <v>0</v>
      </c>
      <c r="AH165" s="127"/>
      <c r="AI165" s="127"/>
      <c r="AJ165" s="127"/>
      <c r="AK165" s="127">
        <v>0</v>
      </c>
      <c r="AL165" s="127"/>
      <c r="AM165" s="127"/>
      <c r="AN165" s="127"/>
      <c r="AO165" s="127">
        <v>0</v>
      </c>
      <c r="AP165" s="127"/>
      <c r="AQ165" s="127"/>
      <c r="AR165" s="127"/>
      <c r="AS165" s="127"/>
      <c r="AT165" s="127">
        <v>0</v>
      </c>
      <c r="AU165" s="127"/>
      <c r="AV165" s="127"/>
      <c r="AW165" s="127"/>
      <c r="AX165" s="127">
        <v>0</v>
      </c>
      <c r="AY165" s="127"/>
      <c r="AZ165" s="127"/>
      <c r="BA165" s="127"/>
      <c r="BB165" s="127">
        <v>0</v>
      </c>
      <c r="BC165" s="127"/>
      <c r="BD165" s="127"/>
      <c r="BE165" s="127"/>
      <c r="BF165" s="127"/>
      <c r="BG165" s="127">
        <v>0</v>
      </c>
      <c r="BH165" s="127"/>
      <c r="BI165" s="127"/>
      <c r="BJ165" s="127"/>
      <c r="BK165" s="127">
        <v>0</v>
      </c>
      <c r="BL165" s="127"/>
      <c r="BM165" s="127"/>
      <c r="BN165" s="127"/>
      <c r="BO165" s="127"/>
      <c r="BP165" s="127" t="s">
        <v>846</v>
      </c>
      <c r="BQ165" s="127" t="s">
        <v>786</v>
      </c>
      <c r="BR165" s="127" t="s">
        <v>847</v>
      </c>
      <c r="BS165" s="127" t="s">
        <v>848</v>
      </c>
      <c r="BT165" s="127" t="s">
        <v>303</v>
      </c>
      <c r="BU165" s="127" t="s">
        <v>189</v>
      </c>
      <c r="BV165" s="127" t="s">
        <v>205</v>
      </c>
      <c r="BW165" s="127" t="s">
        <v>191</v>
      </c>
      <c r="BX165" s="127" t="s">
        <v>840</v>
      </c>
      <c r="BY165" s="127" t="s">
        <v>189</v>
      </c>
      <c r="BZ165" s="127" t="s">
        <v>789</v>
      </c>
    </row>
    <row r="166" spans="2:78" s="121" customFormat="1" outlineLevel="2">
      <c r="B166" s="121" t="s">
        <v>849</v>
      </c>
      <c r="C166" s="121" t="s">
        <v>674</v>
      </c>
      <c r="D166" s="107"/>
      <c r="F166" s="107" t="s">
        <v>89</v>
      </c>
      <c r="G166" s="107" t="s">
        <v>199</v>
      </c>
      <c r="H166" s="122" t="s">
        <v>850</v>
      </c>
      <c r="I166" s="124" t="s">
        <v>571</v>
      </c>
      <c r="J166" s="124"/>
      <c r="K166" s="124" t="s">
        <v>851</v>
      </c>
      <c r="L166" s="124" t="s">
        <v>666</v>
      </c>
      <c r="M166" s="125" t="s">
        <v>183</v>
      </c>
      <c r="N166" s="126">
        <f t="shared" si="16"/>
        <v>8000</v>
      </c>
      <c r="O166" s="127">
        <v>0</v>
      </c>
      <c r="P166" s="127"/>
      <c r="Q166" s="127"/>
      <c r="R166" s="127"/>
      <c r="S166" s="127"/>
      <c r="T166" s="127">
        <v>0</v>
      </c>
      <c r="U166" s="127"/>
      <c r="V166" s="127"/>
      <c r="W166" s="127"/>
      <c r="X166" s="127">
        <v>0</v>
      </c>
      <c r="Y166" s="127"/>
      <c r="Z166" s="130">
        <v>500</v>
      </c>
      <c r="AA166" s="127"/>
      <c r="AB166" s="130">
        <v>6400</v>
      </c>
      <c r="AC166" s="127"/>
      <c r="AD166" s="127">
        <v>1100</v>
      </c>
      <c r="AE166" s="127"/>
      <c r="AF166" s="127"/>
      <c r="AG166" s="127">
        <v>0</v>
      </c>
      <c r="AH166" s="127"/>
      <c r="AI166" s="127"/>
      <c r="AJ166" s="127"/>
      <c r="AK166" s="127">
        <v>0</v>
      </c>
      <c r="AL166" s="127"/>
      <c r="AM166" s="127"/>
      <c r="AN166" s="127"/>
      <c r="AO166" s="127">
        <v>0</v>
      </c>
      <c r="AP166" s="127"/>
      <c r="AQ166" s="127"/>
      <c r="AR166" s="127"/>
      <c r="AS166" s="127"/>
      <c r="AT166" s="127">
        <v>0</v>
      </c>
      <c r="AU166" s="127"/>
      <c r="AV166" s="127"/>
      <c r="AW166" s="127"/>
      <c r="AX166" s="127">
        <v>0</v>
      </c>
      <c r="AY166" s="127"/>
      <c r="AZ166" s="127"/>
      <c r="BA166" s="127"/>
      <c r="BB166" s="127">
        <v>0</v>
      </c>
      <c r="BC166" s="127"/>
      <c r="BD166" s="127"/>
      <c r="BE166" s="127"/>
      <c r="BF166" s="127"/>
      <c r="BG166" s="127">
        <v>0</v>
      </c>
      <c r="BH166" s="127"/>
      <c r="BI166" s="127"/>
      <c r="BJ166" s="127"/>
      <c r="BK166" s="127">
        <v>0</v>
      </c>
      <c r="BL166" s="127"/>
      <c r="BM166" s="127"/>
      <c r="BN166" s="127"/>
      <c r="BO166" s="127"/>
      <c r="BP166" s="127" t="s">
        <v>852</v>
      </c>
      <c r="BQ166" s="127" t="s">
        <v>650</v>
      </c>
      <c r="BR166" s="127" t="s">
        <v>853</v>
      </c>
      <c r="BS166" s="127" t="s">
        <v>854</v>
      </c>
      <c r="BT166" s="127" t="s">
        <v>188</v>
      </c>
      <c r="BU166" s="127" t="s">
        <v>189</v>
      </c>
      <c r="BV166" s="127" t="s">
        <v>229</v>
      </c>
      <c r="BW166" s="127" t="s">
        <v>191</v>
      </c>
      <c r="BX166" s="127" t="s">
        <v>670</v>
      </c>
      <c r="BY166" s="127" t="s">
        <v>189</v>
      </c>
      <c r="BZ166" s="127" t="s">
        <v>855</v>
      </c>
    </row>
    <row r="167" spans="2:78" s="121" customFormat="1" outlineLevel="2">
      <c r="B167" s="121" t="s">
        <v>471</v>
      </c>
      <c r="C167" s="121" t="s">
        <v>674</v>
      </c>
      <c r="D167" s="145"/>
      <c r="E167" s="145"/>
      <c r="F167" s="149" t="s">
        <v>89</v>
      </c>
      <c r="G167" s="107" t="s">
        <v>199</v>
      </c>
      <c r="H167" s="122" t="s">
        <v>856</v>
      </c>
      <c r="K167" s="124" t="s">
        <v>793</v>
      </c>
      <c r="L167" s="124"/>
      <c r="M167" s="125" t="s">
        <v>249</v>
      </c>
      <c r="N167" s="156">
        <f t="shared" si="16"/>
        <v>4800</v>
      </c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8">
        <v>1200</v>
      </c>
      <c r="AA167" s="158">
        <v>1200</v>
      </c>
      <c r="AB167" s="158">
        <v>1200</v>
      </c>
      <c r="AC167" s="158">
        <v>1200</v>
      </c>
      <c r="AD167" s="157">
        <v>0</v>
      </c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57"/>
      <c r="BA167" s="157"/>
      <c r="BB167" s="157"/>
      <c r="BC167" s="157"/>
      <c r="BD167" s="157"/>
      <c r="BE167" s="157"/>
      <c r="BF167" s="157"/>
      <c r="BG167" s="157"/>
      <c r="BH167" s="157"/>
      <c r="BI167" s="157"/>
      <c r="BJ167" s="157"/>
      <c r="BK167" s="157"/>
      <c r="BL167" s="157"/>
      <c r="BM167" s="157"/>
      <c r="BN167" s="157"/>
      <c r="BO167" s="157"/>
      <c r="BP167" s="127"/>
      <c r="BQ167" s="127"/>
      <c r="BR167" s="127"/>
      <c r="BS167" s="127"/>
      <c r="BT167" s="127"/>
      <c r="BU167" s="127"/>
      <c r="BV167" s="127"/>
      <c r="BW167" s="127"/>
      <c r="BX167" s="127"/>
      <c r="BY167" s="127"/>
      <c r="BZ167" s="127"/>
    </row>
    <row r="168" spans="2:78" s="121" customFormat="1" outlineLevel="2">
      <c r="B168" s="121" t="s">
        <v>471</v>
      </c>
      <c r="C168" s="121" t="s">
        <v>674</v>
      </c>
      <c r="D168" s="145"/>
      <c r="E168" s="145"/>
      <c r="F168" s="149" t="s">
        <v>89</v>
      </c>
      <c r="G168" s="107" t="s">
        <v>199</v>
      </c>
      <c r="H168" s="122" t="s">
        <v>856</v>
      </c>
      <c r="K168" s="124" t="s">
        <v>823</v>
      </c>
      <c r="L168" s="124"/>
      <c r="M168" s="125" t="s">
        <v>249</v>
      </c>
      <c r="N168" s="156">
        <f t="shared" si="16"/>
        <v>2400</v>
      </c>
      <c r="O168" s="157"/>
      <c r="P168" s="157"/>
      <c r="Q168" s="157"/>
      <c r="R168" s="157"/>
      <c r="S168" s="157"/>
      <c r="T168" s="157"/>
      <c r="U168" s="157"/>
      <c r="V168" s="157"/>
      <c r="W168" s="158">
        <v>1200</v>
      </c>
      <c r="X168" s="158">
        <v>1200</v>
      </c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7"/>
      <c r="BN168" s="157"/>
      <c r="BO168" s="157"/>
      <c r="BP168" s="127"/>
      <c r="BQ168" s="127"/>
      <c r="BR168" s="127"/>
      <c r="BS168" s="127"/>
      <c r="BT168" s="127"/>
      <c r="BU168" s="127"/>
      <c r="BV168" s="127"/>
      <c r="BW168" s="127"/>
      <c r="BX168" s="127"/>
      <c r="BY168" s="127"/>
      <c r="BZ168" s="127"/>
    </row>
    <row r="169" spans="2:78" s="121" customFormat="1" outlineLevel="2">
      <c r="B169" s="121" t="s">
        <v>471</v>
      </c>
      <c r="C169" s="121" t="s">
        <v>674</v>
      </c>
      <c r="D169" s="107" t="s">
        <v>468</v>
      </c>
      <c r="E169" s="102"/>
      <c r="F169" s="107" t="s">
        <v>88</v>
      </c>
      <c r="G169" s="107"/>
      <c r="H169" s="147" t="s">
        <v>857</v>
      </c>
      <c r="I169" s="153"/>
      <c r="J169" s="153"/>
      <c r="K169" s="153"/>
      <c r="L169" s="153"/>
      <c r="M169" s="125" t="s">
        <v>183</v>
      </c>
      <c r="N169" s="126">
        <v>25000</v>
      </c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7"/>
      <c r="BM169" s="127"/>
      <c r="BN169" s="127"/>
      <c r="BO169" s="127"/>
      <c r="BP169" s="127"/>
      <c r="BQ169" s="127"/>
      <c r="BR169" s="127"/>
      <c r="BS169" s="127"/>
      <c r="BT169" s="127"/>
      <c r="BU169" s="127"/>
      <c r="BV169" s="127"/>
      <c r="BW169" s="127"/>
      <c r="BX169" s="127"/>
      <c r="BY169" s="127"/>
      <c r="BZ169" s="127"/>
    </row>
    <row r="170" spans="2:78" s="139" customFormat="1" outlineLevel="1">
      <c r="C170" s="140" t="s">
        <v>858</v>
      </c>
      <c r="H170" s="141"/>
      <c r="I170" s="141"/>
      <c r="J170" s="141"/>
      <c r="K170" s="141"/>
      <c r="L170" s="141"/>
      <c r="M170" s="142"/>
      <c r="N170" s="143">
        <f t="shared" ref="N170:BO170" si="17">SUBTOTAL(9,N130:N169)</f>
        <v>282271</v>
      </c>
      <c r="O170" s="144">
        <f t="shared" si="17"/>
        <v>1100</v>
      </c>
      <c r="P170" s="144">
        <f t="shared" si="17"/>
        <v>4500</v>
      </c>
      <c r="Q170" s="144">
        <f t="shared" si="17"/>
        <v>4500</v>
      </c>
      <c r="R170" s="144">
        <f t="shared" si="17"/>
        <v>4500</v>
      </c>
      <c r="S170" s="144">
        <f t="shared" si="17"/>
        <v>4200</v>
      </c>
      <c r="T170" s="144">
        <f t="shared" si="17"/>
        <v>4900</v>
      </c>
      <c r="U170" s="144">
        <f t="shared" si="17"/>
        <v>4900</v>
      </c>
      <c r="V170" s="144">
        <f t="shared" si="17"/>
        <v>3300</v>
      </c>
      <c r="W170" s="144">
        <f t="shared" si="17"/>
        <v>4500</v>
      </c>
      <c r="X170" s="144">
        <f t="shared" si="17"/>
        <v>5900</v>
      </c>
      <c r="Y170" s="144">
        <f t="shared" si="17"/>
        <v>4500</v>
      </c>
      <c r="Z170" s="144">
        <f t="shared" si="17"/>
        <v>6000</v>
      </c>
      <c r="AA170" s="144">
        <f t="shared" si="17"/>
        <v>5800</v>
      </c>
      <c r="AB170" s="144">
        <f t="shared" si="17"/>
        <v>14300</v>
      </c>
      <c r="AC170" s="144">
        <f t="shared" si="17"/>
        <v>5500</v>
      </c>
      <c r="AD170" s="144">
        <f t="shared" si="17"/>
        <v>7800</v>
      </c>
      <c r="AE170" s="144">
        <f t="shared" si="17"/>
        <v>4200</v>
      </c>
      <c r="AF170" s="144">
        <f t="shared" si="17"/>
        <v>2000</v>
      </c>
      <c r="AG170" s="144">
        <f t="shared" si="17"/>
        <v>6630</v>
      </c>
      <c r="AH170" s="144">
        <f t="shared" si="17"/>
        <v>2380</v>
      </c>
      <c r="AI170" s="144">
        <f t="shared" si="17"/>
        <v>5880</v>
      </c>
      <c r="AJ170" s="144">
        <f t="shared" si="17"/>
        <v>6080</v>
      </c>
      <c r="AK170" s="144">
        <f t="shared" si="17"/>
        <v>13034</v>
      </c>
      <c r="AL170" s="144">
        <f t="shared" si="17"/>
        <v>5880</v>
      </c>
      <c r="AM170" s="144">
        <f t="shared" si="17"/>
        <v>4500</v>
      </c>
      <c r="AN170" s="144">
        <f t="shared" si="17"/>
        <v>4500</v>
      </c>
      <c r="AO170" s="144">
        <f t="shared" si="17"/>
        <v>21148</v>
      </c>
      <c r="AP170" s="144">
        <f t="shared" si="17"/>
        <v>6500</v>
      </c>
      <c r="AQ170" s="144">
        <f t="shared" si="17"/>
        <v>6000</v>
      </c>
      <c r="AR170" s="144">
        <f t="shared" si="17"/>
        <v>5000</v>
      </c>
      <c r="AS170" s="144">
        <f t="shared" si="17"/>
        <v>6000</v>
      </c>
      <c r="AT170" s="144">
        <f t="shared" si="17"/>
        <v>7500</v>
      </c>
      <c r="AU170" s="144">
        <f t="shared" si="17"/>
        <v>6000</v>
      </c>
      <c r="AV170" s="144">
        <f t="shared" si="17"/>
        <v>5000</v>
      </c>
      <c r="AW170" s="144">
        <f t="shared" si="17"/>
        <v>5000</v>
      </c>
      <c r="AX170" s="144">
        <f t="shared" si="17"/>
        <v>5000</v>
      </c>
      <c r="AY170" s="144">
        <f t="shared" si="17"/>
        <v>6100</v>
      </c>
      <c r="AZ170" s="144">
        <f t="shared" si="17"/>
        <v>6100</v>
      </c>
      <c r="BA170" s="144">
        <f t="shared" si="17"/>
        <v>3300</v>
      </c>
      <c r="BB170" s="144">
        <f t="shared" si="17"/>
        <v>13839</v>
      </c>
      <c r="BC170" s="144">
        <f t="shared" si="17"/>
        <v>2100</v>
      </c>
      <c r="BD170" s="144">
        <f t="shared" si="17"/>
        <v>3000</v>
      </c>
      <c r="BE170" s="144">
        <f t="shared" si="17"/>
        <v>2100</v>
      </c>
      <c r="BF170" s="144">
        <f t="shared" si="17"/>
        <v>2000</v>
      </c>
      <c r="BG170" s="144">
        <f t="shared" si="17"/>
        <v>1100</v>
      </c>
      <c r="BH170" s="144">
        <f t="shared" si="17"/>
        <v>0</v>
      </c>
      <c r="BI170" s="144">
        <f t="shared" si="17"/>
        <v>1200</v>
      </c>
      <c r="BJ170" s="144">
        <f t="shared" si="17"/>
        <v>2000</v>
      </c>
      <c r="BK170" s="144">
        <f t="shared" si="17"/>
        <v>0</v>
      </c>
      <c r="BL170" s="144">
        <f t="shared" si="17"/>
        <v>0</v>
      </c>
      <c r="BM170" s="144">
        <f t="shared" si="17"/>
        <v>0</v>
      </c>
      <c r="BN170" s="144">
        <f t="shared" si="17"/>
        <v>0</v>
      </c>
      <c r="BO170" s="144">
        <f t="shared" si="17"/>
        <v>0</v>
      </c>
      <c r="BP170" s="144"/>
      <c r="BQ170" s="144"/>
      <c r="BR170" s="144"/>
      <c r="BS170" s="144"/>
      <c r="BT170" s="144"/>
      <c r="BU170" s="144"/>
      <c r="BV170" s="144"/>
      <c r="BW170" s="144"/>
      <c r="BX170" s="144"/>
      <c r="BY170" s="144"/>
      <c r="BZ170" s="144">
        <f>SUBTOTAL(9,BZ130:BZ158)</f>
        <v>0</v>
      </c>
    </row>
    <row r="171" spans="2:78" s="121" customFormat="1" outlineLevel="2">
      <c r="B171" s="121" t="s">
        <v>859</v>
      </c>
      <c r="C171" s="121" t="s">
        <v>860</v>
      </c>
      <c r="D171" s="107" t="s">
        <v>195</v>
      </c>
      <c r="F171" s="107" t="s">
        <v>178</v>
      </c>
      <c r="H171" s="122" t="s">
        <v>861</v>
      </c>
      <c r="I171" s="124"/>
      <c r="J171" s="124"/>
      <c r="K171" s="124" t="s">
        <v>862</v>
      </c>
      <c r="L171" s="124" t="s">
        <v>863</v>
      </c>
      <c r="M171" s="125" t="s">
        <v>183</v>
      </c>
      <c r="N171" s="126">
        <f t="shared" ref="N171:N182" si="18">SUM(O171:BO171)</f>
        <v>1200</v>
      </c>
      <c r="O171" s="127">
        <v>0</v>
      </c>
      <c r="P171" s="127"/>
      <c r="Q171" s="127"/>
      <c r="R171" s="127"/>
      <c r="S171" s="127"/>
      <c r="T171" s="127">
        <v>0</v>
      </c>
      <c r="U171" s="127"/>
      <c r="V171" s="127"/>
      <c r="W171" s="127"/>
      <c r="X171" s="127">
        <v>0</v>
      </c>
      <c r="Y171" s="127"/>
      <c r="Z171" s="127"/>
      <c r="AA171" s="127"/>
      <c r="AB171" s="127">
        <v>0</v>
      </c>
      <c r="AC171" s="127"/>
      <c r="AD171" s="127"/>
      <c r="AE171" s="127"/>
      <c r="AF171" s="127"/>
      <c r="AG171" s="127">
        <v>0</v>
      </c>
      <c r="AH171" s="127"/>
      <c r="AI171" s="127"/>
      <c r="AJ171" s="127"/>
      <c r="AK171" s="127">
        <v>0</v>
      </c>
      <c r="AL171" s="127"/>
      <c r="AM171" s="127"/>
      <c r="AN171" s="127"/>
      <c r="AO171" s="127">
        <v>0</v>
      </c>
      <c r="AP171" s="127"/>
      <c r="AQ171" s="127"/>
      <c r="AR171" s="127"/>
      <c r="AS171" s="127"/>
      <c r="AT171" s="127">
        <v>0</v>
      </c>
      <c r="AU171" s="127"/>
      <c r="AV171" s="127"/>
      <c r="AW171" s="127"/>
      <c r="AX171" s="127">
        <v>0</v>
      </c>
      <c r="AY171" s="127"/>
      <c r="AZ171" s="127"/>
      <c r="BA171" s="127">
        <v>1200</v>
      </c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>
        <v>0</v>
      </c>
      <c r="BL171" s="127"/>
      <c r="BM171" s="127"/>
      <c r="BN171" s="127"/>
      <c r="BO171" s="127"/>
      <c r="BP171" s="127" t="s">
        <v>864</v>
      </c>
      <c r="BQ171" s="127" t="s">
        <v>865</v>
      </c>
      <c r="BR171" s="127" t="s">
        <v>866</v>
      </c>
      <c r="BS171" s="127" t="s">
        <v>867</v>
      </c>
      <c r="BT171" s="127" t="s">
        <v>868</v>
      </c>
      <c r="BU171" s="127" t="s">
        <v>869</v>
      </c>
      <c r="BV171" s="127" t="s">
        <v>188</v>
      </c>
      <c r="BW171" s="127" t="s">
        <v>191</v>
      </c>
      <c r="BX171" s="127" t="s">
        <v>870</v>
      </c>
      <c r="BY171" s="127" t="s">
        <v>592</v>
      </c>
      <c r="BZ171" s="131" t="s">
        <v>871</v>
      </c>
    </row>
    <row r="172" spans="2:78" s="121" customFormat="1" outlineLevel="2">
      <c r="B172" s="121" t="s">
        <v>859</v>
      </c>
      <c r="C172" s="121" t="s">
        <v>860</v>
      </c>
      <c r="D172" s="107" t="s">
        <v>195</v>
      </c>
      <c r="F172" s="107" t="s">
        <v>178</v>
      </c>
      <c r="H172" s="124" t="s">
        <v>872</v>
      </c>
      <c r="I172" s="124"/>
      <c r="J172" s="124"/>
      <c r="K172" s="124" t="s">
        <v>189</v>
      </c>
      <c r="L172" s="124" t="s">
        <v>863</v>
      </c>
      <c r="M172" s="125" t="s">
        <v>183</v>
      </c>
      <c r="N172" s="126">
        <f t="shared" si="18"/>
        <v>3735</v>
      </c>
      <c r="O172" s="127">
        <v>0</v>
      </c>
      <c r="P172" s="127"/>
      <c r="Q172" s="127"/>
      <c r="R172" s="127"/>
      <c r="S172" s="127"/>
      <c r="T172" s="127">
        <v>0</v>
      </c>
      <c r="U172" s="127"/>
      <c r="V172" s="127"/>
      <c r="W172" s="127"/>
      <c r="X172" s="127">
        <v>0</v>
      </c>
      <c r="Y172" s="127"/>
      <c r="Z172" s="127"/>
      <c r="AA172" s="127"/>
      <c r="AB172" s="127">
        <v>0</v>
      </c>
      <c r="AC172" s="127"/>
      <c r="AD172" s="127"/>
      <c r="AE172" s="127"/>
      <c r="AF172" s="127"/>
      <c r="AG172" s="127">
        <v>0</v>
      </c>
      <c r="AH172" s="127"/>
      <c r="AI172" s="127"/>
      <c r="AJ172" s="127"/>
      <c r="AK172" s="127">
        <v>0</v>
      </c>
      <c r="AL172" s="127"/>
      <c r="AM172" s="127"/>
      <c r="AN172" s="127"/>
      <c r="AO172" s="127">
        <v>0</v>
      </c>
      <c r="AP172" s="127"/>
      <c r="AQ172" s="127"/>
      <c r="AR172" s="127"/>
      <c r="AS172" s="127"/>
      <c r="AT172" s="127">
        <v>0</v>
      </c>
      <c r="AU172" s="127"/>
      <c r="AV172" s="127"/>
      <c r="AW172" s="127"/>
      <c r="AX172" s="154">
        <v>3735</v>
      </c>
      <c r="AY172" s="127"/>
      <c r="AZ172" s="127"/>
      <c r="BA172" s="127"/>
      <c r="BB172" s="127">
        <v>0</v>
      </c>
      <c r="BC172" s="127"/>
      <c r="BD172" s="127"/>
      <c r="BE172" s="127"/>
      <c r="BF172" s="127"/>
      <c r="BG172" s="127">
        <v>0</v>
      </c>
      <c r="BH172" s="127"/>
      <c r="BI172" s="127"/>
      <c r="BJ172" s="127"/>
      <c r="BK172" s="127">
        <v>0</v>
      </c>
      <c r="BL172" s="127"/>
      <c r="BM172" s="127"/>
      <c r="BN172" s="127"/>
      <c r="BO172" s="127"/>
      <c r="BP172" s="127" t="s">
        <v>873</v>
      </c>
      <c r="BQ172" s="127" t="s">
        <v>236</v>
      </c>
      <c r="BR172" s="127" t="s">
        <v>874</v>
      </c>
      <c r="BS172" s="127" t="s">
        <v>875</v>
      </c>
      <c r="BT172" s="127" t="s">
        <v>188</v>
      </c>
      <c r="BU172" s="127" t="s">
        <v>876</v>
      </c>
      <c r="BV172" s="127" t="s">
        <v>304</v>
      </c>
      <c r="BW172" s="127" t="s">
        <v>191</v>
      </c>
      <c r="BX172" s="127" t="s">
        <v>877</v>
      </c>
      <c r="BY172" s="127" t="s">
        <v>878</v>
      </c>
      <c r="BZ172" s="127" t="s">
        <v>879</v>
      </c>
    </row>
    <row r="173" spans="2:78" s="121" customFormat="1" outlineLevel="2">
      <c r="B173" s="121" t="s">
        <v>859</v>
      </c>
      <c r="C173" s="121" t="s">
        <v>860</v>
      </c>
      <c r="D173" s="107" t="s">
        <v>195</v>
      </c>
      <c r="F173" s="107" t="s">
        <v>231</v>
      </c>
      <c r="G173" s="107" t="s">
        <v>388</v>
      </c>
      <c r="H173" s="122" t="s">
        <v>880</v>
      </c>
      <c r="I173" s="124" t="s">
        <v>290</v>
      </c>
      <c r="J173" s="124"/>
      <c r="K173" s="124" t="s">
        <v>189</v>
      </c>
      <c r="L173" s="124" t="s">
        <v>881</v>
      </c>
      <c r="M173" s="125" t="s">
        <v>183</v>
      </c>
      <c r="N173" s="126">
        <f t="shared" si="18"/>
        <v>0</v>
      </c>
      <c r="O173" s="127">
        <v>0</v>
      </c>
      <c r="P173" s="127"/>
      <c r="Q173" s="127"/>
      <c r="R173" s="127"/>
      <c r="S173" s="127"/>
      <c r="T173" s="127">
        <v>0</v>
      </c>
      <c r="U173" s="127"/>
      <c r="V173" s="127"/>
      <c r="W173" s="127"/>
      <c r="X173" s="127">
        <v>0</v>
      </c>
      <c r="Y173" s="127"/>
      <c r="Z173" s="127"/>
      <c r="AA173" s="127"/>
      <c r="AB173" s="127">
        <v>0</v>
      </c>
      <c r="AC173" s="127"/>
      <c r="AD173" s="127"/>
      <c r="AE173" s="127"/>
      <c r="AF173" s="127"/>
      <c r="AG173" s="127">
        <v>0</v>
      </c>
      <c r="AH173" s="127"/>
      <c r="AI173" s="127"/>
      <c r="AJ173" s="127"/>
      <c r="AK173" s="127">
        <v>0</v>
      </c>
      <c r="AL173" s="127"/>
      <c r="AM173" s="127"/>
      <c r="AN173" s="127"/>
      <c r="AO173" s="127">
        <v>0</v>
      </c>
      <c r="AP173" s="127"/>
      <c r="AQ173" s="127"/>
      <c r="AR173" s="127"/>
      <c r="AS173" s="127"/>
      <c r="AT173" s="127">
        <v>0</v>
      </c>
      <c r="AU173" s="127"/>
      <c r="AV173" s="127"/>
      <c r="AW173" s="127"/>
      <c r="AX173" s="127">
        <v>0</v>
      </c>
      <c r="AY173" s="127"/>
      <c r="AZ173" s="127"/>
      <c r="BA173" s="127"/>
      <c r="BB173" s="127">
        <v>0</v>
      </c>
      <c r="BC173" s="127"/>
      <c r="BD173" s="127"/>
      <c r="BE173" s="127"/>
      <c r="BF173" s="127"/>
      <c r="BG173" s="127">
        <v>0</v>
      </c>
      <c r="BH173" s="127"/>
      <c r="BI173" s="127"/>
      <c r="BJ173" s="127"/>
      <c r="BK173" s="127">
        <v>0</v>
      </c>
      <c r="BL173" s="127"/>
      <c r="BM173" s="127"/>
      <c r="BN173" s="127"/>
      <c r="BO173" s="127"/>
      <c r="BP173" s="127" t="s">
        <v>882</v>
      </c>
      <c r="BQ173" s="127" t="s">
        <v>883</v>
      </c>
      <c r="BR173" s="127" t="s">
        <v>884</v>
      </c>
      <c r="BS173" s="127" t="s">
        <v>885</v>
      </c>
      <c r="BT173" s="127" t="s">
        <v>188</v>
      </c>
      <c r="BU173" s="127" t="s">
        <v>189</v>
      </c>
      <c r="BV173" s="127" t="s">
        <v>395</v>
      </c>
      <c r="BW173" s="127" t="s">
        <v>191</v>
      </c>
      <c r="BX173" s="127" t="s">
        <v>305</v>
      </c>
      <c r="BY173" s="127" t="s">
        <v>378</v>
      </c>
      <c r="BZ173" s="131" t="s">
        <v>886</v>
      </c>
    </row>
    <row r="174" spans="2:78" s="121" customFormat="1" outlineLevel="2">
      <c r="B174" s="121" t="s">
        <v>859</v>
      </c>
      <c r="C174" s="121" t="s">
        <v>860</v>
      </c>
      <c r="D174" s="107" t="s">
        <v>177</v>
      </c>
      <c r="F174" s="107" t="s">
        <v>231</v>
      </c>
      <c r="G174" s="107" t="s">
        <v>887</v>
      </c>
      <c r="H174" s="122" t="s">
        <v>888</v>
      </c>
      <c r="I174" s="123" t="s">
        <v>180</v>
      </c>
      <c r="J174" s="124"/>
      <c r="K174" s="124" t="s">
        <v>889</v>
      </c>
      <c r="L174" s="124" t="s">
        <v>890</v>
      </c>
      <c r="M174" s="125" t="s">
        <v>183</v>
      </c>
      <c r="N174" s="126">
        <f t="shared" si="18"/>
        <v>25300</v>
      </c>
      <c r="O174" s="127"/>
      <c r="P174" s="127">
        <v>1100</v>
      </c>
      <c r="Q174" s="127">
        <v>2200</v>
      </c>
      <c r="R174" s="127">
        <v>2200</v>
      </c>
      <c r="S174" s="127">
        <v>2200</v>
      </c>
      <c r="T174" s="127">
        <v>2200</v>
      </c>
      <c r="U174" s="127">
        <v>2200</v>
      </c>
      <c r="V174" s="127">
        <v>1100</v>
      </c>
      <c r="W174" s="127"/>
      <c r="X174" s="127"/>
      <c r="Y174" s="127"/>
      <c r="Z174" s="127"/>
      <c r="AA174" s="127"/>
      <c r="AB174" s="127">
        <v>1100</v>
      </c>
      <c r="AC174" s="127">
        <v>1100</v>
      </c>
      <c r="AD174" s="127">
        <v>1100</v>
      </c>
      <c r="AE174" s="127">
        <v>1100</v>
      </c>
      <c r="AF174" s="127">
        <v>1100</v>
      </c>
      <c r="AG174" s="127">
        <v>1100</v>
      </c>
      <c r="AH174" s="127">
        <v>1100</v>
      </c>
      <c r="AI174" s="127">
        <v>1100</v>
      </c>
      <c r="AJ174" s="127">
        <v>1100</v>
      </c>
      <c r="AK174" s="127">
        <v>1100</v>
      </c>
      <c r="AL174" s="127">
        <v>1100</v>
      </c>
      <c r="AM174" s="127"/>
      <c r="AN174" s="127"/>
      <c r="AO174" s="127">
        <v>0</v>
      </c>
      <c r="AP174" s="127"/>
      <c r="AQ174" s="127"/>
      <c r="AR174" s="127"/>
      <c r="AS174" s="127"/>
      <c r="AT174" s="127">
        <v>0</v>
      </c>
      <c r="AU174" s="127"/>
      <c r="AV174" s="127"/>
      <c r="AW174" s="127"/>
      <c r="AX174" s="127">
        <v>0</v>
      </c>
      <c r="AY174" s="127"/>
      <c r="AZ174" s="127"/>
      <c r="BA174" s="127"/>
      <c r="BB174" s="127">
        <v>0</v>
      </c>
      <c r="BC174" s="127"/>
      <c r="BD174" s="127"/>
      <c r="BE174" s="127"/>
      <c r="BF174" s="127"/>
      <c r="BG174" s="127">
        <v>0</v>
      </c>
      <c r="BH174" s="127"/>
      <c r="BI174" s="127"/>
      <c r="BJ174" s="127"/>
      <c r="BK174" s="127">
        <v>0</v>
      </c>
      <c r="BL174" s="127"/>
      <c r="BM174" s="127"/>
      <c r="BN174" s="127"/>
      <c r="BO174" s="127"/>
      <c r="BP174" s="127" t="s">
        <v>891</v>
      </c>
      <c r="BQ174" s="127" t="s">
        <v>892</v>
      </c>
      <c r="BR174" s="127" t="s">
        <v>893</v>
      </c>
      <c r="BS174" s="127" t="s">
        <v>894</v>
      </c>
      <c r="BT174" s="127" t="s">
        <v>239</v>
      </c>
      <c r="BU174" s="127"/>
      <c r="BV174" s="127" t="s">
        <v>190</v>
      </c>
      <c r="BW174" s="127" t="s">
        <v>191</v>
      </c>
      <c r="BX174" s="127" t="s">
        <v>670</v>
      </c>
      <c r="BY174" s="127" t="s">
        <v>189</v>
      </c>
      <c r="BZ174" s="128" t="s">
        <v>895</v>
      </c>
    </row>
    <row r="175" spans="2:78" s="121" customFormat="1" outlineLevel="2">
      <c r="B175" s="121" t="s">
        <v>859</v>
      </c>
      <c r="C175" s="121" t="s">
        <v>860</v>
      </c>
      <c r="D175" s="107" t="s">
        <v>177</v>
      </c>
      <c r="F175" s="107" t="s">
        <v>231</v>
      </c>
      <c r="H175" s="122" t="s">
        <v>888</v>
      </c>
      <c r="I175" s="123" t="s">
        <v>180</v>
      </c>
      <c r="J175" s="124"/>
      <c r="K175" s="124" t="s">
        <v>896</v>
      </c>
      <c r="L175" s="124" t="s">
        <v>890</v>
      </c>
      <c r="M175" s="125" t="s">
        <v>183</v>
      </c>
      <c r="N175" s="126">
        <f t="shared" si="18"/>
        <v>10000</v>
      </c>
      <c r="O175" s="127"/>
      <c r="P175" s="127"/>
      <c r="Q175" s="127"/>
      <c r="R175" s="127"/>
      <c r="S175" s="127"/>
      <c r="T175" s="127"/>
      <c r="U175" s="127"/>
      <c r="V175" s="127"/>
      <c r="W175" s="127">
        <v>1000</v>
      </c>
      <c r="X175" s="127">
        <v>2000</v>
      </c>
      <c r="Y175" s="127">
        <v>2000</v>
      </c>
      <c r="Z175" s="127">
        <v>2000</v>
      </c>
      <c r="AA175" s="127">
        <v>2000</v>
      </c>
      <c r="AB175" s="127">
        <v>1000</v>
      </c>
      <c r="AC175" s="127"/>
      <c r="AD175" s="127"/>
      <c r="AE175" s="127"/>
      <c r="AF175" s="127"/>
      <c r="AG175" s="127"/>
      <c r="AH175" s="127"/>
      <c r="AI175" s="127"/>
      <c r="AJ175" s="127"/>
      <c r="AK175" s="127">
        <v>0</v>
      </c>
      <c r="AL175" s="127"/>
      <c r="AM175" s="127"/>
      <c r="AN175" s="127"/>
      <c r="AO175" s="127">
        <v>0</v>
      </c>
      <c r="AP175" s="127"/>
      <c r="AQ175" s="127"/>
      <c r="AR175" s="127"/>
      <c r="AS175" s="127"/>
      <c r="AT175" s="127">
        <v>0</v>
      </c>
      <c r="AU175" s="127"/>
      <c r="AV175" s="127"/>
      <c r="AW175" s="127"/>
      <c r="AX175" s="127">
        <v>0</v>
      </c>
      <c r="AY175" s="127"/>
      <c r="AZ175" s="127"/>
      <c r="BA175" s="127"/>
      <c r="BB175" s="127">
        <v>0</v>
      </c>
      <c r="BC175" s="127"/>
      <c r="BD175" s="127"/>
      <c r="BE175" s="127"/>
      <c r="BF175" s="127"/>
      <c r="BG175" s="127">
        <v>0</v>
      </c>
      <c r="BH175" s="127"/>
      <c r="BI175" s="127"/>
      <c r="BJ175" s="127"/>
      <c r="BK175" s="127">
        <v>0</v>
      </c>
      <c r="BL175" s="127"/>
      <c r="BM175" s="127"/>
      <c r="BN175" s="127"/>
      <c r="BO175" s="127"/>
      <c r="BP175" s="127" t="s">
        <v>891</v>
      </c>
      <c r="BQ175" s="127" t="s">
        <v>892</v>
      </c>
      <c r="BR175" s="127" t="s">
        <v>893</v>
      </c>
      <c r="BS175" s="127" t="s">
        <v>894</v>
      </c>
      <c r="BT175" s="127" t="s">
        <v>239</v>
      </c>
      <c r="BU175" s="127"/>
      <c r="BV175" s="127" t="s">
        <v>190</v>
      </c>
      <c r="BW175" s="127" t="s">
        <v>191</v>
      </c>
      <c r="BX175" s="127" t="s">
        <v>670</v>
      </c>
      <c r="BY175" s="127" t="s">
        <v>189</v>
      </c>
      <c r="BZ175" s="128" t="s">
        <v>895</v>
      </c>
    </row>
    <row r="176" spans="2:78" s="121" customFormat="1" outlineLevel="2">
      <c r="B176" s="121" t="s">
        <v>859</v>
      </c>
      <c r="C176" s="121" t="s">
        <v>860</v>
      </c>
      <c r="D176" s="107" t="s">
        <v>195</v>
      </c>
      <c r="F176" s="107" t="s">
        <v>231</v>
      </c>
      <c r="H176" s="122" t="s">
        <v>888</v>
      </c>
      <c r="I176" s="123" t="s">
        <v>180</v>
      </c>
      <c r="J176" s="124"/>
      <c r="K176" s="124" t="s">
        <v>897</v>
      </c>
      <c r="L176" s="124" t="s">
        <v>890</v>
      </c>
      <c r="M176" s="125" t="s">
        <v>183</v>
      </c>
      <c r="N176" s="126">
        <f t="shared" si="18"/>
        <v>50000</v>
      </c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>
        <v>1000</v>
      </c>
      <c r="AA176" s="127">
        <v>3000</v>
      </c>
      <c r="AB176" s="127">
        <v>3000</v>
      </c>
      <c r="AC176" s="127">
        <v>5000</v>
      </c>
      <c r="AD176" s="127">
        <v>5000</v>
      </c>
      <c r="AE176" s="127">
        <v>5000</v>
      </c>
      <c r="AF176" s="127">
        <v>3000</v>
      </c>
      <c r="AG176" s="127">
        <v>5000</v>
      </c>
      <c r="AH176" s="127">
        <v>4000</v>
      </c>
      <c r="AI176" s="127">
        <v>5000</v>
      </c>
      <c r="AJ176" s="127">
        <v>5000</v>
      </c>
      <c r="AK176" s="127">
        <v>5000</v>
      </c>
      <c r="AL176" s="127">
        <v>1000</v>
      </c>
      <c r="AM176" s="127"/>
      <c r="AN176" s="127"/>
      <c r="AO176" s="127">
        <v>0</v>
      </c>
      <c r="AP176" s="127"/>
      <c r="AQ176" s="127"/>
      <c r="AR176" s="127"/>
      <c r="AS176" s="127"/>
      <c r="AT176" s="127">
        <v>0</v>
      </c>
      <c r="AU176" s="127"/>
      <c r="AV176" s="127"/>
      <c r="AW176" s="127"/>
      <c r="AX176" s="127">
        <v>0</v>
      </c>
      <c r="AY176" s="127"/>
      <c r="AZ176" s="127"/>
      <c r="BA176" s="127"/>
      <c r="BB176" s="127">
        <v>0</v>
      </c>
      <c r="BC176" s="127"/>
      <c r="BD176" s="127"/>
      <c r="BE176" s="127"/>
      <c r="BF176" s="127"/>
      <c r="BG176" s="127">
        <v>0</v>
      </c>
      <c r="BH176" s="127"/>
      <c r="BI176" s="127"/>
      <c r="BJ176" s="127"/>
      <c r="BK176" s="127">
        <v>0</v>
      </c>
      <c r="BL176" s="127"/>
      <c r="BM176" s="127"/>
      <c r="BN176" s="127"/>
      <c r="BO176" s="127"/>
      <c r="BP176" s="127" t="s">
        <v>891</v>
      </c>
      <c r="BQ176" s="127" t="s">
        <v>892</v>
      </c>
      <c r="BR176" s="127" t="s">
        <v>893</v>
      </c>
      <c r="BS176" s="127" t="s">
        <v>894</v>
      </c>
      <c r="BT176" s="127" t="s">
        <v>239</v>
      </c>
      <c r="BU176" s="127"/>
      <c r="BV176" s="127" t="s">
        <v>190</v>
      </c>
      <c r="BW176" s="127" t="s">
        <v>191</v>
      </c>
      <c r="BX176" s="127" t="s">
        <v>670</v>
      </c>
      <c r="BY176" s="127" t="s">
        <v>189</v>
      </c>
      <c r="BZ176" s="128" t="s">
        <v>895</v>
      </c>
    </row>
    <row r="177" spans="2:78" s="121" customFormat="1" outlineLevel="2">
      <c r="B177" s="121" t="s">
        <v>859</v>
      </c>
      <c r="C177" s="121" t="s">
        <v>860</v>
      </c>
      <c r="D177" s="107" t="s">
        <v>195</v>
      </c>
      <c r="F177" s="107" t="s">
        <v>231</v>
      </c>
      <c r="H177" s="124" t="s">
        <v>898</v>
      </c>
      <c r="I177" s="124" t="s">
        <v>571</v>
      </c>
      <c r="J177" s="124"/>
      <c r="K177" s="124" t="s">
        <v>899</v>
      </c>
      <c r="L177" s="124" t="s">
        <v>863</v>
      </c>
      <c r="M177" s="125" t="s">
        <v>183</v>
      </c>
      <c r="N177" s="126">
        <f t="shared" si="18"/>
        <v>6000</v>
      </c>
      <c r="O177" s="127">
        <v>0</v>
      </c>
      <c r="P177" s="127"/>
      <c r="Q177" s="127"/>
      <c r="R177" s="127"/>
      <c r="S177" s="127"/>
      <c r="T177" s="127">
        <v>0</v>
      </c>
      <c r="U177" s="127"/>
      <c r="V177" s="127"/>
      <c r="W177" s="127"/>
      <c r="X177" s="127">
        <v>0</v>
      </c>
      <c r="Y177" s="127"/>
      <c r="Z177" s="127"/>
      <c r="AA177" s="127"/>
      <c r="AB177" s="127">
        <v>0</v>
      </c>
      <c r="AC177" s="127"/>
      <c r="AD177" s="127"/>
      <c r="AE177" s="127"/>
      <c r="AF177" s="127"/>
      <c r="AG177" s="127">
        <v>0</v>
      </c>
      <c r="AH177" s="127"/>
      <c r="AI177" s="127"/>
      <c r="AJ177" s="127"/>
      <c r="AK177" s="127">
        <v>0</v>
      </c>
      <c r="AL177" s="127"/>
      <c r="AM177" s="127"/>
      <c r="AN177" s="127"/>
      <c r="AO177" s="127">
        <v>0</v>
      </c>
      <c r="AP177" s="127"/>
      <c r="AQ177" s="127"/>
      <c r="AR177" s="127"/>
      <c r="AS177" s="127"/>
      <c r="AT177" s="154">
        <v>6000</v>
      </c>
      <c r="AU177" s="127"/>
      <c r="AV177" s="127"/>
      <c r="AW177" s="127"/>
      <c r="AX177" s="127">
        <v>0</v>
      </c>
      <c r="AY177" s="127"/>
      <c r="AZ177" s="127"/>
      <c r="BA177" s="127"/>
      <c r="BB177" s="127">
        <v>0</v>
      </c>
      <c r="BC177" s="127"/>
      <c r="BD177" s="127"/>
      <c r="BE177" s="127"/>
      <c r="BF177" s="127"/>
      <c r="BG177" s="127">
        <v>0</v>
      </c>
      <c r="BH177" s="127"/>
      <c r="BI177" s="127"/>
      <c r="BJ177" s="127"/>
      <c r="BK177" s="127">
        <v>0</v>
      </c>
      <c r="BL177" s="127"/>
      <c r="BM177" s="127"/>
      <c r="BN177" s="127"/>
      <c r="BO177" s="127"/>
      <c r="BP177" s="127" t="s">
        <v>900</v>
      </c>
      <c r="BQ177" s="127" t="s">
        <v>236</v>
      </c>
      <c r="BR177" s="127" t="s">
        <v>353</v>
      </c>
      <c r="BS177" s="127" t="s">
        <v>901</v>
      </c>
      <c r="BT177" s="127" t="s">
        <v>239</v>
      </c>
      <c r="BU177" s="127" t="s">
        <v>189</v>
      </c>
      <c r="BV177" s="127" t="s">
        <v>205</v>
      </c>
      <c r="BW177" s="127" t="s">
        <v>191</v>
      </c>
      <c r="BX177" s="127" t="s">
        <v>902</v>
      </c>
      <c r="BY177" s="127" t="s">
        <v>903</v>
      </c>
      <c r="BZ177" s="127" t="s">
        <v>879</v>
      </c>
    </row>
    <row r="178" spans="2:78" s="121" customFormat="1" outlineLevel="2">
      <c r="B178" s="121" t="s">
        <v>859</v>
      </c>
      <c r="C178" s="121" t="s">
        <v>860</v>
      </c>
      <c r="D178" s="107" t="s">
        <v>195</v>
      </c>
      <c r="F178" s="107" t="s">
        <v>231</v>
      </c>
      <c r="G178" s="107" t="s">
        <v>199</v>
      </c>
      <c r="H178" s="122" t="s">
        <v>904</v>
      </c>
      <c r="I178" s="124"/>
      <c r="J178" s="124"/>
      <c r="K178" s="124" t="s">
        <v>905</v>
      </c>
      <c r="L178" s="124" t="s">
        <v>863</v>
      </c>
      <c r="M178" s="125" t="s">
        <v>183</v>
      </c>
      <c r="N178" s="126">
        <f t="shared" si="18"/>
        <v>2400</v>
      </c>
      <c r="O178" s="127">
        <v>0</v>
      </c>
      <c r="P178" s="127"/>
      <c r="Q178" s="127"/>
      <c r="R178" s="127"/>
      <c r="S178" s="127"/>
      <c r="T178" s="127"/>
      <c r="U178" s="130">
        <v>1200</v>
      </c>
      <c r="V178" s="127"/>
      <c r="W178" s="130">
        <v>1200</v>
      </c>
      <c r="X178" s="127">
        <v>0</v>
      </c>
      <c r="Y178" s="127"/>
      <c r="Z178" s="127"/>
      <c r="AA178" s="127"/>
      <c r="AB178" s="127">
        <v>0</v>
      </c>
      <c r="AC178" s="127"/>
      <c r="AD178" s="127"/>
      <c r="AE178" s="127"/>
      <c r="AF178" s="127"/>
      <c r="AG178" s="127">
        <v>0</v>
      </c>
      <c r="AH178" s="127"/>
      <c r="AI178" s="127"/>
      <c r="AJ178" s="127"/>
      <c r="AK178" s="127">
        <v>0</v>
      </c>
      <c r="AL178" s="127"/>
      <c r="AM178" s="127"/>
      <c r="AN178" s="127"/>
      <c r="AO178" s="127">
        <v>0</v>
      </c>
      <c r="AP178" s="127"/>
      <c r="AQ178" s="127"/>
      <c r="AR178" s="127"/>
      <c r="AS178" s="127"/>
      <c r="AT178" s="127">
        <v>0</v>
      </c>
      <c r="AU178" s="127"/>
      <c r="AV178" s="127"/>
      <c r="AW178" s="127"/>
      <c r="AX178" s="127">
        <v>0</v>
      </c>
      <c r="AY178" s="127"/>
      <c r="AZ178" s="127"/>
      <c r="BA178" s="127"/>
      <c r="BB178" s="127">
        <v>0</v>
      </c>
      <c r="BC178" s="127"/>
      <c r="BD178" s="127"/>
      <c r="BE178" s="127"/>
      <c r="BF178" s="127"/>
      <c r="BG178" s="127">
        <v>0</v>
      </c>
      <c r="BH178" s="127"/>
      <c r="BI178" s="127"/>
      <c r="BJ178" s="127"/>
      <c r="BK178" s="127">
        <v>0</v>
      </c>
      <c r="BL178" s="127"/>
      <c r="BM178" s="127"/>
      <c r="BN178" s="127"/>
      <c r="BO178" s="127"/>
      <c r="BP178" s="127" t="s">
        <v>906</v>
      </c>
      <c r="BQ178" s="127" t="s">
        <v>907</v>
      </c>
      <c r="BR178" s="127" t="s">
        <v>908</v>
      </c>
      <c r="BS178" s="127" t="s">
        <v>909</v>
      </c>
      <c r="BT178" s="127" t="s">
        <v>910</v>
      </c>
      <c r="BU178" s="127" t="s">
        <v>911</v>
      </c>
      <c r="BV178" s="127" t="s">
        <v>229</v>
      </c>
      <c r="BW178" s="127" t="s">
        <v>343</v>
      </c>
      <c r="BX178" s="127" t="s">
        <v>305</v>
      </c>
      <c r="BY178" s="127" t="s">
        <v>608</v>
      </c>
      <c r="BZ178" s="127" t="s">
        <v>879</v>
      </c>
    </row>
    <row r="179" spans="2:78" s="121" customFormat="1" outlineLevel="2">
      <c r="B179" s="121" t="s">
        <v>859</v>
      </c>
      <c r="C179" s="121" t="s">
        <v>860</v>
      </c>
      <c r="D179" s="107"/>
      <c r="F179" s="107" t="s">
        <v>89</v>
      </c>
      <c r="G179" s="107" t="s">
        <v>199</v>
      </c>
      <c r="H179" s="122" t="s">
        <v>904</v>
      </c>
      <c r="I179" s="124"/>
      <c r="J179" s="124"/>
      <c r="K179" s="124" t="s">
        <v>905</v>
      </c>
      <c r="L179" s="124" t="s">
        <v>863</v>
      </c>
      <c r="M179" s="125" t="s">
        <v>183</v>
      </c>
      <c r="N179" s="126">
        <f t="shared" si="18"/>
        <v>1600</v>
      </c>
      <c r="O179" s="127">
        <v>0</v>
      </c>
      <c r="P179" s="127"/>
      <c r="Q179" s="127"/>
      <c r="R179" s="127"/>
      <c r="S179" s="127"/>
      <c r="T179" s="130">
        <v>1600</v>
      </c>
      <c r="U179" s="127"/>
      <c r="V179" s="127"/>
      <c r="W179" s="127"/>
      <c r="X179" s="127"/>
      <c r="Y179" s="127"/>
      <c r="Z179" s="127"/>
      <c r="AA179" s="127"/>
      <c r="AB179" s="127">
        <v>0</v>
      </c>
      <c r="AC179" s="127"/>
      <c r="AD179" s="127"/>
      <c r="AE179" s="127"/>
      <c r="AF179" s="127"/>
      <c r="AG179" s="127">
        <v>0</v>
      </c>
      <c r="AH179" s="127"/>
      <c r="AI179" s="127"/>
      <c r="AJ179" s="127"/>
      <c r="AK179" s="127">
        <v>0</v>
      </c>
      <c r="AL179" s="127"/>
      <c r="AM179" s="127"/>
      <c r="AN179" s="127"/>
      <c r="AO179" s="127">
        <v>0</v>
      </c>
      <c r="AP179" s="127"/>
      <c r="AQ179" s="127"/>
      <c r="AR179" s="127"/>
      <c r="AS179" s="127"/>
      <c r="AT179" s="127">
        <v>0</v>
      </c>
      <c r="AU179" s="127"/>
      <c r="AV179" s="127"/>
      <c r="AW179" s="127"/>
      <c r="AX179" s="127">
        <v>0</v>
      </c>
      <c r="AY179" s="127"/>
      <c r="AZ179" s="127"/>
      <c r="BA179" s="127"/>
      <c r="BB179" s="127">
        <v>0</v>
      </c>
      <c r="BC179" s="127"/>
      <c r="BD179" s="127"/>
      <c r="BE179" s="127"/>
      <c r="BF179" s="127"/>
      <c r="BG179" s="127">
        <v>0</v>
      </c>
      <c r="BH179" s="127"/>
      <c r="BI179" s="127"/>
      <c r="BJ179" s="127"/>
      <c r="BK179" s="127">
        <v>0</v>
      </c>
      <c r="BL179" s="127"/>
      <c r="BM179" s="127"/>
      <c r="BN179" s="127"/>
      <c r="BO179" s="127"/>
      <c r="BP179" s="127" t="s">
        <v>906</v>
      </c>
      <c r="BQ179" s="127" t="s">
        <v>907</v>
      </c>
      <c r="BR179" s="127" t="s">
        <v>908</v>
      </c>
      <c r="BS179" s="127" t="s">
        <v>909</v>
      </c>
      <c r="BT179" s="127" t="s">
        <v>910</v>
      </c>
      <c r="BU179" s="127" t="s">
        <v>911</v>
      </c>
      <c r="BV179" s="127" t="s">
        <v>229</v>
      </c>
      <c r="BW179" s="127" t="s">
        <v>343</v>
      </c>
      <c r="BX179" s="127" t="s">
        <v>305</v>
      </c>
      <c r="BY179" s="127" t="s">
        <v>608</v>
      </c>
      <c r="BZ179" s="127" t="s">
        <v>879</v>
      </c>
    </row>
    <row r="180" spans="2:78" s="121" customFormat="1" outlineLevel="2">
      <c r="B180" s="121" t="s">
        <v>859</v>
      </c>
      <c r="C180" s="121" t="s">
        <v>860</v>
      </c>
      <c r="D180" s="107" t="s">
        <v>195</v>
      </c>
      <c r="F180" s="107" t="s">
        <v>178</v>
      </c>
      <c r="G180" s="107" t="s">
        <v>548</v>
      </c>
      <c r="H180" s="122" t="s">
        <v>912</v>
      </c>
      <c r="I180" s="124"/>
      <c r="J180" s="124"/>
      <c r="K180" s="124" t="s">
        <v>913</v>
      </c>
      <c r="L180" s="124" t="s">
        <v>881</v>
      </c>
      <c r="M180" s="125" t="s">
        <v>183</v>
      </c>
      <c r="N180" s="126">
        <f t="shared" si="18"/>
        <v>0</v>
      </c>
      <c r="O180" s="127"/>
      <c r="P180" s="127"/>
      <c r="Q180" s="127"/>
      <c r="R180" s="127"/>
      <c r="S180" s="127"/>
      <c r="T180" s="127">
        <v>0</v>
      </c>
      <c r="U180" s="127"/>
      <c r="V180" s="127"/>
      <c r="W180" s="127"/>
      <c r="X180" s="127">
        <v>0</v>
      </c>
      <c r="Y180" s="127"/>
      <c r="Z180" s="127"/>
      <c r="AA180" s="127"/>
      <c r="AB180" s="127">
        <v>0</v>
      </c>
      <c r="AC180" s="127"/>
      <c r="AD180" s="127"/>
      <c r="AE180" s="127"/>
      <c r="AF180" s="127"/>
      <c r="AG180" s="127">
        <v>0</v>
      </c>
      <c r="AH180" s="127"/>
      <c r="AI180" s="127"/>
      <c r="AJ180" s="127"/>
      <c r="AK180" s="127">
        <v>0</v>
      </c>
      <c r="AL180" s="127"/>
      <c r="AM180" s="127"/>
      <c r="AN180" s="127"/>
      <c r="AO180" s="127">
        <v>0</v>
      </c>
      <c r="AP180" s="127"/>
      <c r="AQ180" s="127"/>
      <c r="AR180" s="127"/>
      <c r="AS180" s="127"/>
      <c r="AT180" s="127">
        <v>0</v>
      </c>
      <c r="AU180" s="127"/>
      <c r="AV180" s="127"/>
      <c r="AW180" s="127"/>
      <c r="AX180" s="127">
        <v>0</v>
      </c>
      <c r="AY180" s="127"/>
      <c r="AZ180" s="127"/>
      <c r="BA180" s="127"/>
      <c r="BB180" s="127">
        <v>0</v>
      </c>
      <c r="BC180" s="127"/>
      <c r="BD180" s="127"/>
      <c r="BE180" s="127"/>
      <c r="BF180" s="127"/>
      <c r="BG180" s="127">
        <v>0</v>
      </c>
      <c r="BH180" s="127"/>
      <c r="BI180" s="127"/>
      <c r="BJ180" s="127"/>
      <c r="BK180" s="127">
        <v>0</v>
      </c>
      <c r="BL180" s="127"/>
      <c r="BM180" s="127"/>
      <c r="BN180" s="127"/>
      <c r="BO180" s="127"/>
      <c r="BP180" s="127" t="s">
        <v>914</v>
      </c>
      <c r="BQ180" s="127" t="s">
        <v>915</v>
      </c>
      <c r="BR180" s="127" t="s">
        <v>916</v>
      </c>
      <c r="BS180" s="127" t="s">
        <v>917</v>
      </c>
      <c r="BT180" s="127" t="s">
        <v>239</v>
      </c>
      <c r="BU180" s="127" t="s">
        <v>189</v>
      </c>
      <c r="BV180" s="127" t="s">
        <v>205</v>
      </c>
      <c r="BW180" s="127" t="s">
        <v>191</v>
      </c>
      <c r="BX180" s="127" t="s">
        <v>918</v>
      </c>
      <c r="BY180" s="127" t="s">
        <v>919</v>
      </c>
      <c r="BZ180" s="128" t="s">
        <v>920</v>
      </c>
    </row>
    <row r="181" spans="2:78" s="121" customFormat="1" outlineLevel="2">
      <c r="B181" s="121" t="s">
        <v>859</v>
      </c>
      <c r="C181" s="121" t="s">
        <v>860</v>
      </c>
      <c r="D181" s="107" t="s">
        <v>195</v>
      </c>
      <c r="E181" s="148" t="s">
        <v>921</v>
      </c>
      <c r="F181" s="107" t="s">
        <v>922</v>
      </c>
      <c r="G181" s="107" t="s">
        <v>199</v>
      </c>
      <c r="H181" s="122" t="s">
        <v>923</v>
      </c>
      <c r="I181" s="124"/>
      <c r="J181" s="124"/>
      <c r="K181" s="124" t="s">
        <v>924</v>
      </c>
      <c r="L181" s="124" t="s">
        <v>863</v>
      </c>
      <c r="M181" s="125" t="s">
        <v>183</v>
      </c>
      <c r="N181" s="126">
        <f t="shared" si="18"/>
        <v>1000</v>
      </c>
      <c r="O181" s="130">
        <v>1000</v>
      </c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>
        <v>0</v>
      </c>
      <c r="AC181" s="127"/>
      <c r="AD181" s="127"/>
      <c r="AE181" s="127"/>
      <c r="AF181" s="127"/>
      <c r="AG181" s="127">
        <v>0</v>
      </c>
      <c r="AH181" s="127"/>
      <c r="AI181" s="127"/>
      <c r="AJ181" s="127"/>
      <c r="AK181" s="127">
        <v>0</v>
      </c>
      <c r="AL181" s="127"/>
      <c r="AM181" s="127"/>
      <c r="AN181" s="127"/>
      <c r="AO181" s="127">
        <v>0</v>
      </c>
      <c r="AP181" s="127"/>
      <c r="AQ181" s="127"/>
      <c r="AR181" s="127"/>
      <c r="AS181" s="127"/>
      <c r="AT181" s="127">
        <v>0</v>
      </c>
      <c r="AU181" s="127"/>
      <c r="AV181" s="127"/>
      <c r="AW181" s="127"/>
      <c r="AX181" s="127">
        <v>0</v>
      </c>
      <c r="AY181" s="127"/>
      <c r="AZ181" s="127"/>
      <c r="BA181" s="127"/>
      <c r="BB181" s="127">
        <v>0</v>
      </c>
      <c r="BC181" s="127"/>
      <c r="BD181" s="127"/>
      <c r="BE181" s="127"/>
      <c r="BF181" s="127"/>
      <c r="BG181" s="127">
        <v>0</v>
      </c>
      <c r="BH181" s="127"/>
      <c r="BI181" s="127"/>
      <c r="BJ181" s="127"/>
      <c r="BK181" s="127">
        <v>0</v>
      </c>
      <c r="BL181" s="127"/>
      <c r="BM181" s="127"/>
      <c r="BN181" s="127"/>
      <c r="BO181" s="127"/>
      <c r="BP181" s="127" t="s">
        <v>925</v>
      </c>
      <c r="BQ181" s="127" t="s">
        <v>300</v>
      </c>
      <c r="BR181" s="127" t="s">
        <v>926</v>
      </c>
      <c r="BS181" s="127" t="s">
        <v>927</v>
      </c>
      <c r="BT181" s="127" t="s">
        <v>239</v>
      </c>
      <c r="BU181" s="127" t="s">
        <v>189</v>
      </c>
      <c r="BV181" s="127" t="s">
        <v>229</v>
      </c>
      <c r="BW181" s="127" t="s">
        <v>191</v>
      </c>
      <c r="BX181" s="127" t="s">
        <v>928</v>
      </c>
      <c r="BY181" s="127" t="s">
        <v>929</v>
      </c>
      <c r="BZ181" s="131" t="s">
        <v>930</v>
      </c>
    </row>
    <row r="182" spans="2:78" s="121" customFormat="1" outlineLevel="2">
      <c r="B182" s="121" t="s">
        <v>859</v>
      </c>
      <c r="C182" s="121" t="s">
        <v>860</v>
      </c>
      <c r="D182" s="107"/>
      <c r="E182" s="107"/>
      <c r="F182" s="107" t="s">
        <v>89</v>
      </c>
      <c r="G182" s="107" t="s">
        <v>199</v>
      </c>
      <c r="H182" s="122" t="s">
        <v>923</v>
      </c>
      <c r="I182" s="124"/>
      <c r="J182" s="124"/>
      <c r="K182" s="124" t="s">
        <v>931</v>
      </c>
      <c r="L182" s="124" t="s">
        <v>863</v>
      </c>
      <c r="M182" s="125" t="s">
        <v>183</v>
      </c>
      <c r="N182" s="126">
        <f t="shared" si="18"/>
        <v>7800</v>
      </c>
      <c r="O182" s="127"/>
      <c r="P182" s="127"/>
      <c r="Q182" s="146">
        <v>1000</v>
      </c>
      <c r="R182" s="146">
        <v>1000</v>
      </c>
      <c r="S182" s="146">
        <v>1000</v>
      </c>
      <c r="T182" s="146">
        <v>1000</v>
      </c>
      <c r="U182" s="146">
        <v>1000</v>
      </c>
      <c r="V182" s="146">
        <v>1000</v>
      </c>
      <c r="W182" s="146">
        <v>1000</v>
      </c>
      <c r="X182" s="146">
        <v>800</v>
      </c>
      <c r="Y182" s="127"/>
      <c r="Z182" s="127"/>
      <c r="AA182" s="127"/>
      <c r="AB182" s="127">
        <v>0</v>
      </c>
      <c r="AC182" s="127"/>
      <c r="AD182" s="127"/>
      <c r="AE182" s="127"/>
      <c r="AF182" s="127"/>
      <c r="AG182" s="127">
        <v>0</v>
      </c>
      <c r="AH182" s="127"/>
      <c r="AI182" s="127"/>
      <c r="AJ182" s="127"/>
      <c r="AK182" s="127">
        <v>0</v>
      </c>
      <c r="AL182" s="127"/>
      <c r="AM182" s="127"/>
      <c r="AN182" s="127"/>
      <c r="AO182" s="127">
        <v>0</v>
      </c>
      <c r="AP182" s="127"/>
      <c r="AQ182" s="127"/>
      <c r="AR182" s="127"/>
      <c r="AS182" s="127"/>
      <c r="AT182" s="127">
        <v>0</v>
      </c>
      <c r="AU182" s="127"/>
      <c r="AV182" s="127"/>
      <c r="AW182" s="127"/>
      <c r="AX182" s="127">
        <v>0</v>
      </c>
      <c r="AY182" s="127"/>
      <c r="AZ182" s="127"/>
      <c r="BA182" s="127"/>
      <c r="BB182" s="127">
        <v>0</v>
      </c>
      <c r="BC182" s="127"/>
      <c r="BD182" s="127"/>
      <c r="BE182" s="127"/>
      <c r="BF182" s="127"/>
      <c r="BG182" s="127">
        <v>0</v>
      </c>
      <c r="BH182" s="127"/>
      <c r="BI182" s="127"/>
      <c r="BJ182" s="127"/>
      <c r="BK182" s="127">
        <v>0</v>
      </c>
      <c r="BL182" s="127"/>
      <c r="BM182" s="127"/>
      <c r="BN182" s="127"/>
      <c r="BO182" s="127"/>
      <c r="BP182" s="127" t="s">
        <v>925</v>
      </c>
      <c r="BQ182" s="127" t="s">
        <v>300</v>
      </c>
      <c r="BR182" s="127" t="s">
        <v>926</v>
      </c>
      <c r="BS182" s="127" t="s">
        <v>927</v>
      </c>
      <c r="BT182" s="127" t="s">
        <v>239</v>
      </c>
      <c r="BU182" s="127" t="s">
        <v>189</v>
      </c>
      <c r="BV182" s="127" t="s">
        <v>229</v>
      </c>
      <c r="BW182" s="127" t="s">
        <v>191</v>
      </c>
      <c r="BX182" s="127" t="s">
        <v>928</v>
      </c>
      <c r="BY182" s="127" t="s">
        <v>929</v>
      </c>
      <c r="BZ182" s="131" t="s">
        <v>930</v>
      </c>
    </row>
    <row r="183" spans="2:78" s="121" customFormat="1" outlineLevel="2">
      <c r="B183" s="121" t="s">
        <v>859</v>
      </c>
      <c r="C183" s="121" t="s">
        <v>860</v>
      </c>
      <c r="D183" s="107" t="s">
        <v>195</v>
      </c>
      <c r="F183" s="107" t="s">
        <v>231</v>
      </c>
      <c r="G183" s="107" t="s">
        <v>199</v>
      </c>
      <c r="H183" s="122" t="s">
        <v>932</v>
      </c>
      <c r="I183" s="124"/>
      <c r="J183" s="124"/>
      <c r="K183" s="124" t="s">
        <v>862</v>
      </c>
      <c r="L183" s="124" t="s">
        <v>863</v>
      </c>
      <c r="M183" s="125" t="s">
        <v>183</v>
      </c>
      <c r="N183" s="126">
        <f>SUM(O183:BO183)</f>
        <v>2400</v>
      </c>
      <c r="O183" s="127">
        <v>0</v>
      </c>
      <c r="P183" s="127"/>
      <c r="Q183" s="127"/>
      <c r="R183" s="127"/>
      <c r="S183" s="127"/>
      <c r="T183" s="127">
        <v>0</v>
      </c>
      <c r="U183" s="127"/>
      <c r="V183" s="127"/>
      <c r="W183" s="127"/>
      <c r="X183" s="127"/>
      <c r="Y183" s="127"/>
      <c r="Z183" s="130">
        <v>1200</v>
      </c>
      <c r="AA183" s="130">
        <v>1200</v>
      </c>
      <c r="AB183" s="127"/>
      <c r="AC183" s="127"/>
      <c r="AD183" s="127"/>
      <c r="AE183" s="127"/>
      <c r="AF183" s="127"/>
      <c r="AG183" s="127">
        <v>0</v>
      </c>
      <c r="AH183" s="127"/>
      <c r="AI183" s="127"/>
      <c r="AJ183" s="127"/>
      <c r="AK183" s="127">
        <v>0</v>
      </c>
      <c r="AL183" s="127"/>
      <c r="AM183" s="127"/>
      <c r="AN183" s="127"/>
      <c r="AO183" s="127">
        <v>0</v>
      </c>
      <c r="AP183" s="127"/>
      <c r="AQ183" s="127"/>
      <c r="AR183" s="127"/>
      <c r="AS183" s="127"/>
      <c r="AT183" s="127">
        <v>0</v>
      </c>
      <c r="AU183" s="127"/>
      <c r="AV183" s="127"/>
      <c r="AW183" s="127"/>
      <c r="AX183" s="127">
        <v>0</v>
      </c>
      <c r="AY183" s="127"/>
      <c r="AZ183" s="127"/>
      <c r="BA183" s="127"/>
      <c r="BB183" s="127">
        <v>0</v>
      </c>
      <c r="BC183" s="127"/>
      <c r="BD183" s="127"/>
      <c r="BE183" s="127"/>
      <c r="BF183" s="127"/>
      <c r="BG183" s="127">
        <v>0</v>
      </c>
      <c r="BH183" s="127"/>
      <c r="BI183" s="127"/>
      <c r="BJ183" s="127"/>
      <c r="BK183" s="127">
        <v>0</v>
      </c>
      <c r="BL183" s="127"/>
      <c r="BM183" s="127"/>
      <c r="BN183" s="127"/>
      <c r="BO183" s="127"/>
      <c r="BP183" s="127" t="s">
        <v>933</v>
      </c>
      <c r="BQ183" s="127" t="s">
        <v>865</v>
      </c>
      <c r="BR183" s="127" t="s">
        <v>934</v>
      </c>
      <c r="BS183" s="127" t="s">
        <v>935</v>
      </c>
      <c r="BT183" s="127" t="s">
        <v>188</v>
      </c>
      <c r="BU183" s="127" t="s">
        <v>189</v>
      </c>
      <c r="BV183" s="127" t="s">
        <v>304</v>
      </c>
      <c r="BW183" s="127" t="s">
        <v>191</v>
      </c>
      <c r="BX183" s="127" t="s">
        <v>305</v>
      </c>
      <c r="BY183" s="127" t="s">
        <v>608</v>
      </c>
      <c r="BZ183" s="131" t="s">
        <v>930</v>
      </c>
    </row>
    <row r="184" spans="2:78" s="121" customFormat="1" outlineLevel="2">
      <c r="B184" s="121" t="s">
        <v>859</v>
      </c>
      <c r="C184" s="121" t="s">
        <v>860</v>
      </c>
      <c r="D184" s="107"/>
      <c r="F184" s="107" t="s">
        <v>936</v>
      </c>
      <c r="G184" s="107" t="s">
        <v>937</v>
      </c>
      <c r="H184" s="122" t="s">
        <v>938</v>
      </c>
      <c r="I184" s="124"/>
      <c r="J184" s="124"/>
      <c r="K184" s="124" t="s">
        <v>939</v>
      </c>
      <c r="L184" s="124" t="s">
        <v>890</v>
      </c>
      <c r="M184" s="125" t="s">
        <v>183</v>
      </c>
      <c r="N184" s="126">
        <f>SUM(O184:BO184)</f>
        <v>50</v>
      </c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30">
        <v>50</v>
      </c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  <c r="BO184" s="127"/>
      <c r="BP184" s="127"/>
      <c r="BQ184" s="127"/>
      <c r="BR184" s="127"/>
      <c r="BS184" s="127"/>
      <c r="BT184" s="127"/>
      <c r="BU184" s="127"/>
      <c r="BV184" s="127"/>
      <c r="BW184" s="127"/>
      <c r="BX184" s="127"/>
      <c r="BY184" s="127"/>
      <c r="BZ184" s="131"/>
    </row>
    <row r="185" spans="2:78" s="121" customFormat="1" outlineLevel="2">
      <c r="B185" s="121" t="s">
        <v>859</v>
      </c>
      <c r="C185" s="121" t="s">
        <v>860</v>
      </c>
      <c r="D185" s="107" t="s">
        <v>177</v>
      </c>
      <c r="F185" s="107" t="s">
        <v>88</v>
      </c>
      <c r="G185" s="107"/>
      <c r="H185" s="122" t="s">
        <v>940</v>
      </c>
      <c r="I185" s="123" t="s">
        <v>370</v>
      </c>
      <c r="J185" s="124"/>
      <c r="K185" s="124" t="s">
        <v>941</v>
      </c>
      <c r="L185" s="124" t="s">
        <v>863</v>
      </c>
      <c r="M185" s="125" t="s">
        <v>183</v>
      </c>
      <c r="N185" s="126">
        <f>SUM(O185:BO185)</f>
        <v>14400</v>
      </c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>
        <v>2400</v>
      </c>
      <c r="BH185" s="127">
        <v>2400</v>
      </c>
      <c r="BI185" s="127">
        <v>2400</v>
      </c>
      <c r="BJ185" s="127">
        <v>2400</v>
      </c>
      <c r="BK185" s="127">
        <v>2400</v>
      </c>
      <c r="BL185" s="127">
        <v>2400</v>
      </c>
      <c r="BM185" s="127"/>
      <c r="BN185" s="127"/>
      <c r="BO185" s="127"/>
      <c r="BP185" s="146" t="s">
        <v>942</v>
      </c>
      <c r="BQ185" s="146" t="s">
        <v>943</v>
      </c>
      <c r="BR185" s="146" t="s">
        <v>944</v>
      </c>
      <c r="BS185" s="146" t="s">
        <v>945</v>
      </c>
      <c r="BT185" s="146" t="s">
        <v>188</v>
      </c>
      <c r="BU185" s="146" t="s">
        <v>189</v>
      </c>
      <c r="BV185" s="146" t="s">
        <v>190</v>
      </c>
      <c r="BW185" s="146" t="s">
        <v>191</v>
      </c>
      <c r="BX185" s="146" t="s">
        <v>946</v>
      </c>
      <c r="BY185" s="146" t="s">
        <v>947</v>
      </c>
      <c r="BZ185" s="146" t="s">
        <v>948</v>
      </c>
    </row>
    <row r="186" spans="2:78" s="121" customFormat="1" outlineLevel="2">
      <c r="B186" s="121" t="s">
        <v>859</v>
      </c>
      <c r="C186" s="121" t="s">
        <v>860</v>
      </c>
      <c r="D186" s="107" t="s">
        <v>195</v>
      </c>
      <c r="F186" s="107" t="s">
        <v>88</v>
      </c>
      <c r="G186" s="107"/>
      <c r="H186" s="122" t="s">
        <v>940</v>
      </c>
      <c r="I186" s="123" t="s">
        <v>631</v>
      </c>
      <c r="J186" s="124"/>
      <c r="K186" s="124" t="s">
        <v>941</v>
      </c>
      <c r="L186" s="124" t="s">
        <v>863</v>
      </c>
      <c r="M186" s="125" t="s">
        <v>183</v>
      </c>
      <c r="N186" s="126">
        <f>SUM(O186:BO186)</f>
        <v>3600</v>
      </c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7">
        <v>1200</v>
      </c>
      <c r="BE186" s="127">
        <v>1200</v>
      </c>
      <c r="BF186" s="127">
        <v>1200</v>
      </c>
      <c r="BG186" s="127"/>
      <c r="BH186" s="127"/>
      <c r="BI186" s="127"/>
      <c r="BJ186" s="127"/>
      <c r="BK186" s="127"/>
      <c r="BL186" s="127"/>
      <c r="BM186" s="127"/>
      <c r="BN186" s="127"/>
      <c r="BO186" s="127"/>
      <c r="BP186" s="146" t="s">
        <v>942</v>
      </c>
      <c r="BQ186" s="146" t="s">
        <v>943</v>
      </c>
      <c r="BR186" s="146" t="s">
        <v>944</v>
      </c>
      <c r="BS186" s="146" t="s">
        <v>945</v>
      </c>
      <c r="BT186" s="146" t="s">
        <v>188</v>
      </c>
      <c r="BU186" s="146" t="s">
        <v>189</v>
      </c>
      <c r="BV186" s="146" t="s">
        <v>190</v>
      </c>
      <c r="BW186" s="146" t="s">
        <v>191</v>
      </c>
      <c r="BX186" s="146" t="s">
        <v>946</v>
      </c>
      <c r="BY186" s="146" t="s">
        <v>947</v>
      </c>
      <c r="BZ186" s="146" t="s">
        <v>948</v>
      </c>
    </row>
    <row r="187" spans="2:78" s="121" customFormat="1" outlineLevel="2">
      <c r="B187" s="121" t="s">
        <v>859</v>
      </c>
      <c r="C187" s="121" t="s">
        <v>860</v>
      </c>
      <c r="D187" s="107" t="s">
        <v>198</v>
      </c>
      <c r="F187" s="107" t="s">
        <v>949</v>
      </c>
      <c r="H187" s="147" t="s">
        <v>950</v>
      </c>
      <c r="I187" s="124"/>
      <c r="J187" s="124"/>
      <c r="K187" s="124"/>
      <c r="L187" s="124"/>
      <c r="M187" s="125" t="s">
        <v>183</v>
      </c>
      <c r="N187" s="126">
        <v>18000</v>
      </c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/>
      <c r="BI187" s="127"/>
      <c r="BJ187" s="127"/>
      <c r="BK187" s="127"/>
      <c r="BL187" s="127"/>
      <c r="BM187" s="127"/>
      <c r="BN187" s="127"/>
      <c r="BO187" s="127"/>
      <c r="BP187" s="127"/>
      <c r="BQ187" s="127"/>
      <c r="BR187" s="127"/>
      <c r="BS187" s="127"/>
      <c r="BT187" s="127"/>
      <c r="BU187" s="127"/>
      <c r="BV187" s="127"/>
      <c r="BW187" s="127"/>
      <c r="BX187" s="127"/>
      <c r="BY187" s="127"/>
      <c r="BZ187" s="127"/>
    </row>
    <row r="188" spans="2:78" s="139" customFormat="1" outlineLevel="1">
      <c r="C188" s="140" t="s">
        <v>951</v>
      </c>
      <c r="H188" s="141"/>
      <c r="I188" s="141"/>
      <c r="J188" s="141"/>
      <c r="K188" s="141"/>
      <c r="L188" s="141"/>
      <c r="M188" s="142"/>
      <c r="N188" s="143">
        <f t="shared" ref="N188:BO188" si="19">SUBTOTAL(9,N171:N187)</f>
        <v>147485</v>
      </c>
      <c r="O188" s="144">
        <f t="shared" si="19"/>
        <v>1000</v>
      </c>
      <c r="P188" s="144">
        <f t="shared" si="19"/>
        <v>1100</v>
      </c>
      <c r="Q188" s="144">
        <f t="shared" si="19"/>
        <v>3200</v>
      </c>
      <c r="R188" s="144">
        <f t="shared" si="19"/>
        <v>3200</v>
      </c>
      <c r="S188" s="144">
        <f t="shared" si="19"/>
        <v>3200</v>
      </c>
      <c r="T188" s="144">
        <f t="shared" si="19"/>
        <v>4800</v>
      </c>
      <c r="U188" s="144">
        <f t="shared" si="19"/>
        <v>4400</v>
      </c>
      <c r="V188" s="144">
        <f t="shared" si="19"/>
        <v>2100</v>
      </c>
      <c r="W188" s="144">
        <f t="shared" si="19"/>
        <v>3200</v>
      </c>
      <c r="X188" s="144">
        <f t="shared" si="19"/>
        <v>2800</v>
      </c>
      <c r="Y188" s="144">
        <f t="shared" si="19"/>
        <v>2000</v>
      </c>
      <c r="Z188" s="144">
        <f t="shared" si="19"/>
        <v>4250</v>
      </c>
      <c r="AA188" s="144">
        <f t="shared" si="19"/>
        <v>6200</v>
      </c>
      <c r="AB188" s="144">
        <f t="shared" si="19"/>
        <v>5100</v>
      </c>
      <c r="AC188" s="144">
        <f t="shared" si="19"/>
        <v>6100</v>
      </c>
      <c r="AD188" s="144">
        <f t="shared" si="19"/>
        <v>6100</v>
      </c>
      <c r="AE188" s="144">
        <f t="shared" si="19"/>
        <v>6100</v>
      </c>
      <c r="AF188" s="144">
        <f t="shared" si="19"/>
        <v>4100</v>
      </c>
      <c r="AG188" s="144">
        <f t="shared" si="19"/>
        <v>6100</v>
      </c>
      <c r="AH188" s="144">
        <f t="shared" si="19"/>
        <v>5100</v>
      </c>
      <c r="AI188" s="144">
        <f t="shared" si="19"/>
        <v>6100</v>
      </c>
      <c r="AJ188" s="144">
        <f t="shared" si="19"/>
        <v>6100</v>
      </c>
      <c r="AK188" s="144">
        <f t="shared" si="19"/>
        <v>6100</v>
      </c>
      <c r="AL188" s="144">
        <f t="shared" si="19"/>
        <v>2100</v>
      </c>
      <c r="AM188" s="144">
        <f t="shared" si="19"/>
        <v>0</v>
      </c>
      <c r="AN188" s="144">
        <f t="shared" si="19"/>
        <v>0</v>
      </c>
      <c r="AO188" s="144">
        <f t="shared" si="19"/>
        <v>0</v>
      </c>
      <c r="AP188" s="144">
        <f t="shared" si="19"/>
        <v>0</v>
      </c>
      <c r="AQ188" s="144">
        <f t="shared" si="19"/>
        <v>0</v>
      </c>
      <c r="AR188" s="144">
        <f t="shared" si="19"/>
        <v>0</v>
      </c>
      <c r="AS188" s="144">
        <f t="shared" si="19"/>
        <v>0</v>
      </c>
      <c r="AT188" s="144">
        <f t="shared" si="19"/>
        <v>6000</v>
      </c>
      <c r="AU188" s="144">
        <f t="shared" si="19"/>
        <v>0</v>
      </c>
      <c r="AV188" s="144">
        <f t="shared" si="19"/>
        <v>0</v>
      </c>
      <c r="AW188" s="144">
        <f t="shared" si="19"/>
        <v>0</v>
      </c>
      <c r="AX188" s="144">
        <f t="shared" si="19"/>
        <v>3735</v>
      </c>
      <c r="AY188" s="144">
        <f t="shared" si="19"/>
        <v>0</v>
      </c>
      <c r="AZ188" s="144">
        <f t="shared" si="19"/>
        <v>0</v>
      </c>
      <c r="BA188" s="144">
        <f t="shared" si="19"/>
        <v>1200</v>
      </c>
      <c r="BB188" s="144">
        <f t="shared" si="19"/>
        <v>0</v>
      </c>
      <c r="BC188" s="144">
        <f t="shared" si="19"/>
        <v>0</v>
      </c>
      <c r="BD188" s="144">
        <f t="shared" si="19"/>
        <v>1200</v>
      </c>
      <c r="BE188" s="144">
        <f t="shared" si="19"/>
        <v>1200</v>
      </c>
      <c r="BF188" s="144">
        <f t="shared" si="19"/>
        <v>1200</v>
      </c>
      <c r="BG188" s="144">
        <f t="shared" si="19"/>
        <v>2400</v>
      </c>
      <c r="BH188" s="144">
        <f t="shared" si="19"/>
        <v>2400</v>
      </c>
      <c r="BI188" s="144">
        <f t="shared" si="19"/>
        <v>2400</v>
      </c>
      <c r="BJ188" s="144">
        <f t="shared" si="19"/>
        <v>2400</v>
      </c>
      <c r="BK188" s="144">
        <f t="shared" si="19"/>
        <v>2400</v>
      </c>
      <c r="BL188" s="144">
        <f t="shared" si="19"/>
        <v>2400</v>
      </c>
      <c r="BM188" s="144">
        <f t="shared" si="19"/>
        <v>0</v>
      </c>
      <c r="BN188" s="144">
        <f t="shared" si="19"/>
        <v>0</v>
      </c>
      <c r="BO188" s="144">
        <f t="shared" si="19"/>
        <v>0</v>
      </c>
      <c r="BP188" s="144"/>
      <c r="BQ188" s="144"/>
      <c r="BR188" s="144"/>
      <c r="BS188" s="144"/>
      <c r="BT188" s="144"/>
      <c r="BU188" s="144"/>
      <c r="BV188" s="144"/>
      <c r="BW188" s="144"/>
      <c r="BX188" s="144"/>
      <c r="BY188" s="144"/>
      <c r="BZ188" s="144">
        <f>SUBTOTAL(9,BZ171:BZ178)</f>
        <v>0</v>
      </c>
    </row>
    <row r="189" spans="2:78" s="121" customFormat="1" outlineLevel="2">
      <c r="B189" s="121" t="s">
        <v>859</v>
      </c>
      <c r="C189" s="107" t="s">
        <v>952</v>
      </c>
      <c r="D189" s="107" t="s">
        <v>195</v>
      </c>
      <c r="F189" s="107" t="s">
        <v>231</v>
      </c>
      <c r="G189" s="107" t="s">
        <v>953</v>
      </c>
      <c r="H189" s="122" t="s">
        <v>954</v>
      </c>
      <c r="I189" s="124" t="s">
        <v>436</v>
      </c>
      <c r="J189" s="124"/>
      <c r="K189" s="159" t="s">
        <v>955</v>
      </c>
      <c r="L189" s="124" t="s">
        <v>956</v>
      </c>
      <c r="M189" s="125" t="s">
        <v>183</v>
      </c>
      <c r="N189" s="126">
        <f t="shared" ref="N189:N202" si="20">SUM(O189:BO189)</f>
        <v>31200</v>
      </c>
      <c r="O189" s="127"/>
      <c r="P189" s="127"/>
      <c r="Q189" s="127"/>
      <c r="R189" s="127"/>
      <c r="S189" s="127"/>
      <c r="T189" s="127">
        <v>0</v>
      </c>
      <c r="U189" s="127"/>
      <c r="V189" s="127"/>
      <c r="W189" s="127"/>
      <c r="X189" s="127"/>
      <c r="Y189" s="127"/>
      <c r="Z189" s="127">
        <v>2400</v>
      </c>
      <c r="AA189" s="127">
        <v>2400</v>
      </c>
      <c r="AB189" s="127">
        <v>2400</v>
      </c>
      <c r="AC189" s="127">
        <v>2400</v>
      </c>
      <c r="AD189" s="127">
        <v>2400</v>
      </c>
      <c r="AE189" s="127">
        <v>2400</v>
      </c>
      <c r="AF189" s="127">
        <v>2400</v>
      </c>
      <c r="AG189" s="127">
        <v>2400</v>
      </c>
      <c r="AH189" s="127">
        <v>2400</v>
      </c>
      <c r="AI189" s="127">
        <v>2400</v>
      </c>
      <c r="AJ189" s="127">
        <v>2400</v>
      </c>
      <c r="AK189" s="127">
        <v>2400</v>
      </c>
      <c r="AL189" s="127">
        <v>2400</v>
      </c>
      <c r="AM189" s="127"/>
      <c r="AN189" s="127"/>
      <c r="AO189" s="127"/>
      <c r="AP189" s="127"/>
      <c r="AQ189" s="127"/>
      <c r="AR189" s="127"/>
      <c r="AS189" s="127"/>
      <c r="AT189" s="127">
        <v>0</v>
      </c>
      <c r="AU189" s="127"/>
      <c r="AV189" s="127"/>
      <c r="AW189" s="127"/>
      <c r="AX189" s="127">
        <v>0</v>
      </c>
      <c r="AY189" s="127"/>
      <c r="AZ189" s="127"/>
      <c r="BA189" s="127"/>
      <c r="BB189" s="127">
        <v>0</v>
      </c>
      <c r="BC189" s="127"/>
      <c r="BD189" s="127"/>
      <c r="BE189" s="127"/>
      <c r="BF189" s="127"/>
      <c r="BG189" s="127">
        <v>0</v>
      </c>
      <c r="BH189" s="127"/>
      <c r="BI189" s="127"/>
      <c r="BJ189" s="127"/>
      <c r="BK189" s="127">
        <v>0</v>
      </c>
      <c r="BL189" s="127"/>
      <c r="BM189" s="127"/>
      <c r="BN189" s="127"/>
      <c r="BO189" s="127"/>
      <c r="BP189" s="127" t="s">
        <v>957</v>
      </c>
      <c r="BQ189" s="127" t="s">
        <v>958</v>
      </c>
      <c r="BR189" s="127" t="s">
        <v>959</v>
      </c>
      <c r="BS189" s="127" t="s">
        <v>960</v>
      </c>
      <c r="BT189" s="127" t="s">
        <v>188</v>
      </c>
      <c r="BU189" s="127" t="s">
        <v>876</v>
      </c>
      <c r="BV189" s="127" t="s">
        <v>188</v>
      </c>
      <c r="BW189" s="127" t="s">
        <v>191</v>
      </c>
      <c r="BX189" s="127" t="s">
        <v>961</v>
      </c>
      <c r="BY189" s="127" t="s">
        <v>378</v>
      </c>
      <c r="BZ189" s="127" t="s">
        <v>962</v>
      </c>
    </row>
    <row r="190" spans="2:78" s="121" customFormat="1" outlineLevel="2">
      <c r="B190" s="121" t="s">
        <v>859</v>
      </c>
      <c r="C190" s="107" t="s">
        <v>952</v>
      </c>
      <c r="D190" s="107" t="s">
        <v>195</v>
      </c>
      <c r="F190" s="107" t="s">
        <v>178</v>
      </c>
      <c r="G190" s="107" t="s">
        <v>199</v>
      </c>
      <c r="H190" s="122" t="s">
        <v>963</v>
      </c>
      <c r="I190" s="124"/>
      <c r="J190" s="124"/>
      <c r="K190" s="124" t="s">
        <v>964</v>
      </c>
      <c r="L190" s="124" t="s">
        <v>298</v>
      </c>
      <c r="M190" s="125" t="s">
        <v>183</v>
      </c>
      <c r="N190" s="126">
        <f>SUM(O190:BO190)</f>
        <v>10800</v>
      </c>
      <c r="O190" s="127">
        <v>0</v>
      </c>
      <c r="P190" s="127"/>
      <c r="Q190" s="127"/>
      <c r="R190" s="127"/>
      <c r="S190" s="127"/>
      <c r="T190" s="127">
        <v>0</v>
      </c>
      <c r="U190" s="127"/>
      <c r="V190" s="127"/>
      <c r="W190" s="127"/>
      <c r="X190" s="127">
        <v>0</v>
      </c>
      <c r="Y190" s="127"/>
      <c r="Z190" s="127"/>
      <c r="AA190" s="130">
        <v>1200</v>
      </c>
      <c r="AB190" s="127"/>
      <c r="AC190" s="130">
        <v>1200</v>
      </c>
      <c r="AD190" s="127"/>
      <c r="AE190" s="130">
        <v>1200</v>
      </c>
      <c r="AF190" s="127"/>
      <c r="AG190" s="130">
        <v>1200</v>
      </c>
      <c r="AH190" s="127"/>
      <c r="AI190" s="130">
        <v>1200</v>
      </c>
      <c r="AJ190" s="127"/>
      <c r="AK190" s="127">
        <v>0</v>
      </c>
      <c r="AL190" s="127"/>
      <c r="AM190" s="127"/>
      <c r="AN190" s="127"/>
      <c r="AO190" s="127">
        <v>0</v>
      </c>
      <c r="AP190" s="127"/>
      <c r="AQ190" s="127"/>
      <c r="AR190" s="127"/>
      <c r="AS190" s="127"/>
      <c r="AT190" s="127">
        <v>0</v>
      </c>
      <c r="AU190" s="127"/>
      <c r="AV190" s="127"/>
      <c r="AW190" s="127"/>
      <c r="AX190" s="127">
        <v>0</v>
      </c>
      <c r="AY190" s="127"/>
      <c r="AZ190" s="127"/>
      <c r="BA190" s="127"/>
      <c r="BB190" s="127">
        <v>0</v>
      </c>
      <c r="BC190" s="127"/>
      <c r="BD190" s="127"/>
      <c r="BE190" s="127">
        <v>2400</v>
      </c>
      <c r="BF190" s="127">
        <v>2400</v>
      </c>
      <c r="BG190" s="127"/>
      <c r="BH190" s="127"/>
      <c r="BI190" s="127"/>
      <c r="BJ190" s="127"/>
      <c r="BK190" s="127">
        <v>0</v>
      </c>
      <c r="BL190" s="127"/>
      <c r="BM190" s="127"/>
      <c r="BN190" s="127"/>
      <c r="BO190" s="127"/>
      <c r="BP190" s="127" t="s">
        <v>965</v>
      </c>
      <c r="BQ190" s="127" t="s">
        <v>966</v>
      </c>
      <c r="BR190" s="127" t="s">
        <v>967</v>
      </c>
      <c r="BS190" s="127" t="s">
        <v>968</v>
      </c>
      <c r="BT190" s="127" t="s">
        <v>188</v>
      </c>
      <c r="BU190" s="127" t="s">
        <v>189</v>
      </c>
      <c r="BV190" s="127" t="s">
        <v>304</v>
      </c>
      <c r="BW190" s="127" t="s">
        <v>343</v>
      </c>
      <c r="BX190" s="127" t="s">
        <v>969</v>
      </c>
      <c r="BY190" s="127" t="s">
        <v>970</v>
      </c>
      <c r="BZ190" s="131" t="s">
        <v>307</v>
      </c>
    </row>
    <row r="191" spans="2:78" s="121" customFormat="1" outlineLevel="2">
      <c r="B191" s="121" t="s">
        <v>859</v>
      </c>
      <c r="C191" s="107" t="s">
        <v>952</v>
      </c>
      <c r="D191" s="107" t="s">
        <v>177</v>
      </c>
      <c r="F191" s="107" t="s">
        <v>231</v>
      </c>
      <c r="H191" s="122" t="s">
        <v>971</v>
      </c>
      <c r="I191" s="123" t="s">
        <v>972</v>
      </c>
      <c r="J191" s="124"/>
      <c r="K191" s="124" t="s">
        <v>973</v>
      </c>
      <c r="L191" s="124" t="s">
        <v>956</v>
      </c>
      <c r="M191" s="125" t="s">
        <v>183</v>
      </c>
      <c r="N191" s="126">
        <f t="shared" si="20"/>
        <v>26000</v>
      </c>
      <c r="O191" s="127">
        <v>0</v>
      </c>
      <c r="P191" s="127"/>
      <c r="Q191" s="127"/>
      <c r="R191" s="127"/>
      <c r="S191" s="127"/>
      <c r="T191" s="127">
        <v>0</v>
      </c>
      <c r="U191" s="127"/>
      <c r="V191" s="127"/>
      <c r="W191" s="127"/>
      <c r="X191" s="127">
        <v>0</v>
      </c>
      <c r="Y191" s="127"/>
      <c r="Z191" s="127"/>
      <c r="AA191" s="127"/>
      <c r="AB191" s="127">
        <v>0</v>
      </c>
      <c r="AC191" s="127"/>
      <c r="AD191" s="127"/>
      <c r="AE191" s="127"/>
      <c r="AF191" s="127"/>
      <c r="AG191" s="127">
        <v>0</v>
      </c>
      <c r="AH191" s="127"/>
      <c r="AI191" s="127"/>
      <c r="AJ191" s="127"/>
      <c r="AK191" s="127">
        <v>0</v>
      </c>
      <c r="AL191" s="127"/>
      <c r="AM191" s="127"/>
      <c r="AN191" s="127"/>
      <c r="AO191" s="127">
        <v>0</v>
      </c>
      <c r="AP191" s="127"/>
      <c r="AQ191" s="127"/>
      <c r="AR191" s="127"/>
      <c r="AS191" s="127"/>
      <c r="AT191" s="127">
        <v>0</v>
      </c>
      <c r="AU191" s="127"/>
      <c r="AV191" s="127"/>
      <c r="AW191" s="127"/>
      <c r="AX191" s="127">
        <v>2400</v>
      </c>
      <c r="AY191" s="127">
        <v>2400</v>
      </c>
      <c r="AZ191" s="127">
        <v>2400</v>
      </c>
      <c r="BA191" s="127">
        <v>2400</v>
      </c>
      <c r="BB191" s="127">
        <v>2400</v>
      </c>
      <c r="BC191" s="127">
        <v>2000</v>
      </c>
      <c r="BD191" s="127">
        <v>2000</v>
      </c>
      <c r="BE191" s="127">
        <v>2000</v>
      </c>
      <c r="BF191" s="127">
        <v>2000</v>
      </c>
      <c r="BG191" s="127">
        <v>2000</v>
      </c>
      <c r="BH191" s="127">
        <v>2000</v>
      </c>
      <c r="BI191" s="127">
        <v>2000</v>
      </c>
      <c r="BJ191" s="127"/>
      <c r="BK191" s="127"/>
      <c r="BL191" s="127"/>
      <c r="BM191" s="127"/>
      <c r="BN191" s="127"/>
      <c r="BO191" s="127"/>
      <c r="BP191" s="127" t="s">
        <v>974</v>
      </c>
      <c r="BQ191" s="127" t="s">
        <v>975</v>
      </c>
      <c r="BR191" s="127" t="s">
        <v>976</v>
      </c>
      <c r="BS191" s="127" t="s">
        <v>977</v>
      </c>
      <c r="BT191" s="127" t="s">
        <v>188</v>
      </c>
      <c r="BU191" s="127" t="s">
        <v>189</v>
      </c>
      <c r="BV191" s="127" t="s">
        <v>190</v>
      </c>
      <c r="BW191" s="127" t="s">
        <v>191</v>
      </c>
      <c r="BX191" s="127" t="s">
        <v>978</v>
      </c>
      <c r="BY191" s="127" t="s">
        <v>979</v>
      </c>
      <c r="BZ191" s="128" t="s">
        <v>948</v>
      </c>
    </row>
    <row r="192" spans="2:78" s="121" customFormat="1" outlineLevel="2">
      <c r="B192" s="121" t="s">
        <v>859</v>
      </c>
      <c r="C192" s="107" t="s">
        <v>952</v>
      </c>
      <c r="D192" s="107" t="s">
        <v>177</v>
      </c>
      <c r="F192" s="107" t="s">
        <v>231</v>
      </c>
      <c r="H192" s="122" t="s">
        <v>971</v>
      </c>
      <c r="I192" s="123" t="s">
        <v>972</v>
      </c>
      <c r="J192" s="124"/>
      <c r="K192" s="124" t="s">
        <v>973</v>
      </c>
      <c r="L192" s="124" t="s">
        <v>956</v>
      </c>
      <c r="M192" s="125" t="s">
        <v>183</v>
      </c>
      <c r="N192" s="126">
        <f t="shared" si="20"/>
        <v>21000</v>
      </c>
      <c r="O192" s="127">
        <v>0</v>
      </c>
      <c r="P192" s="127"/>
      <c r="Q192" s="127"/>
      <c r="R192" s="127"/>
      <c r="S192" s="127"/>
      <c r="T192" s="127">
        <v>0</v>
      </c>
      <c r="U192" s="127"/>
      <c r="V192" s="127"/>
      <c r="W192" s="127"/>
      <c r="X192" s="127">
        <v>0</v>
      </c>
      <c r="Y192" s="127"/>
      <c r="Z192" s="127"/>
      <c r="AA192" s="127"/>
      <c r="AB192" s="127">
        <v>0</v>
      </c>
      <c r="AC192" s="127"/>
      <c r="AD192" s="127"/>
      <c r="AE192" s="127"/>
      <c r="AF192" s="127"/>
      <c r="AG192" s="127">
        <v>0</v>
      </c>
      <c r="AH192" s="127"/>
      <c r="AI192" s="127"/>
      <c r="AJ192" s="127"/>
      <c r="AK192" s="127">
        <v>0</v>
      </c>
      <c r="AL192" s="127"/>
      <c r="AM192" s="127"/>
      <c r="AN192" s="127"/>
      <c r="AO192" s="127">
        <v>0</v>
      </c>
      <c r="AP192" s="127"/>
      <c r="AQ192" s="127"/>
      <c r="AR192" s="127"/>
      <c r="AS192" s="127"/>
      <c r="AT192" s="127">
        <v>0</v>
      </c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7">
        <v>1000</v>
      </c>
      <c r="BE192" s="127">
        <v>3000</v>
      </c>
      <c r="BF192" s="127">
        <v>2000</v>
      </c>
      <c r="BG192" s="127">
        <v>3000</v>
      </c>
      <c r="BH192" s="127">
        <v>2000</v>
      </c>
      <c r="BI192" s="127">
        <v>3000</v>
      </c>
      <c r="BJ192" s="127">
        <v>2000</v>
      </c>
      <c r="BK192" s="127">
        <v>3000</v>
      </c>
      <c r="BL192" s="127">
        <v>2000</v>
      </c>
      <c r="BM192" s="127"/>
      <c r="BN192" s="127"/>
      <c r="BO192" s="127"/>
      <c r="BP192" s="127" t="s">
        <v>974</v>
      </c>
      <c r="BQ192" s="127" t="s">
        <v>975</v>
      </c>
      <c r="BR192" s="127" t="s">
        <v>976</v>
      </c>
      <c r="BS192" s="127" t="s">
        <v>977</v>
      </c>
      <c r="BT192" s="127" t="s">
        <v>188</v>
      </c>
      <c r="BU192" s="127" t="s">
        <v>189</v>
      </c>
      <c r="BV192" s="127" t="s">
        <v>190</v>
      </c>
      <c r="BW192" s="127" t="s">
        <v>191</v>
      </c>
      <c r="BX192" s="127" t="s">
        <v>978</v>
      </c>
      <c r="BY192" s="127" t="s">
        <v>979</v>
      </c>
      <c r="BZ192" s="128" t="s">
        <v>948</v>
      </c>
    </row>
    <row r="193" spans="2:78" s="121" customFormat="1" outlineLevel="2">
      <c r="B193" s="121" t="s">
        <v>859</v>
      </c>
      <c r="C193" s="107" t="s">
        <v>952</v>
      </c>
      <c r="D193" s="107" t="s">
        <v>195</v>
      </c>
      <c r="F193" s="107" t="s">
        <v>178</v>
      </c>
      <c r="G193" s="107" t="s">
        <v>980</v>
      </c>
      <c r="H193" s="122" t="s">
        <v>981</v>
      </c>
      <c r="I193" s="124"/>
      <c r="J193" s="124"/>
      <c r="K193" s="124" t="s">
        <v>189</v>
      </c>
      <c r="L193" s="124" t="s">
        <v>956</v>
      </c>
      <c r="M193" s="125" t="s">
        <v>183</v>
      </c>
      <c r="N193" s="126">
        <f t="shared" si="20"/>
        <v>0</v>
      </c>
      <c r="O193" s="127">
        <v>0</v>
      </c>
      <c r="P193" s="127"/>
      <c r="Q193" s="127"/>
      <c r="R193" s="127"/>
      <c r="S193" s="127"/>
      <c r="T193" s="127">
        <v>0</v>
      </c>
      <c r="U193" s="127"/>
      <c r="V193" s="127"/>
      <c r="W193" s="127"/>
      <c r="X193" s="127">
        <v>0</v>
      </c>
      <c r="Y193" s="127"/>
      <c r="Z193" s="127"/>
      <c r="AA193" s="127"/>
      <c r="AB193" s="127">
        <v>0</v>
      </c>
      <c r="AC193" s="127"/>
      <c r="AD193" s="127"/>
      <c r="AE193" s="127"/>
      <c r="AF193" s="127"/>
      <c r="AG193" s="127">
        <v>0</v>
      </c>
      <c r="AH193" s="127"/>
      <c r="AI193" s="127"/>
      <c r="AJ193" s="127"/>
      <c r="AK193" s="127">
        <v>0</v>
      </c>
      <c r="AL193" s="127"/>
      <c r="AM193" s="127"/>
      <c r="AN193" s="127"/>
      <c r="AO193" s="127">
        <v>0</v>
      </c>
      <c r="AP193" s="127"/>
      <c r="AQ193" s="127"/>
      <c r="AR193" s="127"/>
      <c r="AS193" s="127"/>
      <c r="AT193" s="127">
        <v>0</v>
      </c>
      <c r="AU193" s="127"/>
      <c r="AV193" s="127"/>
      <c r="AW193" s="127"/>
      <c r="AX193" s="127">
        <v>0</v>
      </c>
      <c r="AY193" s="127"/>
      <c r="AZ193" s="127"/>
      <c r="BA193" s="127"/>
      <c r="BB193" s="127">
        <v>0</v>
      </c>
      <c r="BC193" s="127"/>
      <c r="BD193" s="127"/>
      <c r="BE193" s="127"/>
      <c r="BF193" s="127"/>
      <c r="BG193" s="127">
        <v>0</v>
      </c>
      <c r="BH193" s="127"/>
      <c r="BI193" s="127"/>
      <c r="BJ193" s="127"/>
      <c r="BK193" s="127">
        <v>0</v>
      </c>
      <c r="BL193" s="127"/>
      <c r="BM193" s="127"/>
      <c r="BN193" s="127"/>
      <c r="BO193" s="127"/>
      <c r="BP193" s="127" t="s">
        <v>982</v>
      </c>
      <c r="BQ193" s="127" t="s">
        <v>983</v>
      </c>
      <c r="BR193" s="127" t="s">
        <v>393</v>
      </c>
      <c r="BS193" s="127" t="s">
        <v>984</v>
      </c>
      <c r="BT193" s="127" t="s">
        <v>188</v>
      </c>
      <c r="BU193" s="127" t="s">
        <v>189</v>
      </c>
      <c r="BV193" s="127" t="s">
        <v>229</v>
      </c>
      <c r="BW193" s="127" t="s">
        <v>191</v>
      </c>
      <c r="BX193" s="127" t="s">
        <v>305</v>
      </c>
      <c r="BY193" s="127" t="s">
        <v>189</v>
      </c>
      <c r="BZ193" s="128" t="s">
        <v>962</v>
      </c>
    </row>
    <row r="194" spans="2:78" s="121" customFormat="1" outlineLevel="2">
      <c r="B194" s="121" t="s">
        <v>859</v>
      </c>
      <c r="C194" s="107" t="s">
        <v>952</v>
      </c>
      <c r="D194" s="107" t="s">
        <v>177</v>
      </c>
      <c r="F194" s="107" t="s">
        <v>231</v>
      </c>
      <c r="H194" s="122" t="s">
        <v>985</v>
      </c>
      <c r="I194" s="124" t="s">
        <v>296</v>
      </c>
      <c r="J194" s="124"/>
      <c r="K194" s="124" t="s">
        <v>986</v>
      </c>
      <c r="L194" s="124" t="s">
        <v>956</v>
      </c>
      <c r="M194" s="125" t="s">
        <v>183</v>
      </c>
      <c r="N194" s="126">
        <f t="shared" si="20"/>
        <v>30800</v>
      </c>
      <c r="O194" s="127">
        <v>3300</v>
      </c>
      <c r="P194" s="127">
        <v>2200</v>
      </c>
      <c r="Q194" s="127">
        <v>3300</v>
      </c>
      <c r="R194" s="127">
        <v>2200</v>
      </c>
      <c r="S194" s="127">
        <v>3300</v>
      </c>
      <c r="T194" s="127">
        <v>2200</v>
      </c>
      <c r="U194" s="127">
        <v>3300</v>
      </c>
      <c r="V194" s="127">
        <v>2200</v>
      </c>
      <c r="W194" s="127">
        <v>3300</v>
      </c>
      <c r="X194" s="127">
        <v>2200</v>
      </c>
      <c r="Y194" s="127">
        <v>3300</v>
      </c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>
        <v>0</v>
      </c>
      <c r="AP194" s="127"/>
      <c r="AQ194" s="127"/>
      <c r="AR194" s="127"/>
      <c r="AS194" s="127"/>
      <c r="AT194" s="127">
        <v>0</v>
      </c>
      <c r="AU194" s="127"/>
      <c r="AV194" s="127"/>
      <c r="AW194" s="127"/>
      <c r="AX194" s="127">
        <v>0</v>
      </c>
      <c r="AY194" s="127"/>
      <c r="AZ194" s="127"/>
      <c r="BA194" s="127"/>
      <c r="BB194" s="127">
        <v>0</v>
      </c>
      <c r="BC194" s="127"/>
      <c r="BD194" s="127"/>
      <c r="BE194" s="127"/>
      <c r="BF194" s="127"/>
      <c r="BG194" s="127">
        <v>0</v>
      </c>
      <c r="BH194" s="127"/>
      <c r="BI194" s="127"/>
      <c r="BJ194" s="127"/>
      <c r="BK194" s="127">
        <v>0</v>
      </c>
      <c r="BL194" s="127"/>
      <c r="BM194" s="127"/>
      <c r="BN194" s="127"/>
      <c r="BO194" s="127"/>
      <c r="BP194" s="127" t="s">
        <v>987</v>
      </c>
      <c r="BQ194" s="127" t="s">
        <v>975</v>
      </c>
      <c r="BR194" s="127" t="s">
        <v>988</v>
      </c>
      <c r="BS194" s="127" t="s">
        <v>989</v>
      </c>
      <c r="BT194" s="127" t="s">
        <v>188</v>
      </c>
      <c r="BU194" s="127" t="s">
        <v>189</v>
      </c>
      <c r="BV194" s="127" t="s">
        <v>304</v>
      </c>
      <c r="BW194" s="127" t="s">
        <v>191</v>
      </c>
      <c r="BX194" s="127" t="s">
        <v>189</v>
      </c>
      <c r="BY194" s="127" t="s">
        <v>189</v>
      </c>
      <c r="BZ194" s="127" t="s">
        <v>990</v>
      </c>
    </row>
    <row r="195" spans="2:78" s="121" customFormat="1" outlineLevel="2">
      <c r="B195" s="121" t="s">
        <v>859</v>
      </c>
      <c r="C195" s="107" t="s">
        <v>952</v>
      </c>
      <c r="D195" s="107" t="s">
        <v>195</v>
      </c>
      <c r="F195" s="107" t="s">
        <v>231</v>
      </c>
      <c r="H195" s="122" t="s">
        <v>985</v>
      </c>
      <c r="I195" s="124" t="s">
        <v>296</v>
      </c>
      <c r="J195" s="124"/>
      <c r="K195" s="124" t="s">
        <v>986</v>
      </c>
      <c r="L195" s="124" t="s">
        <v>956</v>
      </c>
      <c r="M195" s="125" t="s">
        <v>183</v>
      </c>
      <c r="N195" s="126">
        <f t="shared" si="20"/>
        <v>35200</v>
      </c>
      <c r="O195" s="127">
        <v>0</v>
      </c>
      <c r="P195" s="127">
        <v>0</v>
      </c>
      <c r="Q195" s="127">
        <v>0</v>
      </c>
      <c r="R195" s="127">
        <v>1100</v>
      </c>
      <c r="S195" s="127"/>
      <c r="T195" s="127"/>
      <c r="U195" s="127"/>
      <c r="V195" s="127"/>
      <c r="W195" s="127"/>
      <c r="X195" s="127"/>
      <c r="Y195" s="127"/>
      <c r="Z195" s="127">
        <v>3300</v>
      </c>
      <c r="AA195" s="127">
        <v>2200</v>
      </c>
      <c r="AB195" s="127">
        <v>3300</v>
      </c>
      <c r="AC195" s="127">
        <v>3300</v>
      </c>
      <c r="AD195" s="127">
        <v>3300</v>
      </c>
      <c r="AE195" s="127">
        <v>3300</v>
      </c>
      <c r="AF195" s="127">
        <v>3300</v>
      </c>
      <c r="AG195" s="127">
        <v>3300</v>
      </c>
      <c r="AH195" s="127">
        <v>2200</v>
      </c>
      <c r="AI195" s="127">
        <v>3300</v>
      </c>
      <c r="AJ195" s="127">
        <v>2200</v>
      </c>
      <c r="AK195" s="127">
        <v>1100</v>
      </c>
      <c r="AL195" s="127"/>
      <c r="AM195" s="127"/>
      <c r="AN195" s="127"/>
      <c r="AO195" s="127">
        <v>0</v>
      </c>
      <c r="AP195" s="127"/>
      <c r="AQ195" s="127"/>
      <c r="AR195" s="127"/>
      <c r="AS195" s="127"/>
      <c r="AT195" s="127">
        <v>0</v>
      </c>
      <c r="AU195" s="127"/>
      <c r="AV195" s="127"/>
      <c r="AW195" s="127"/>
      <c r="AX195" s="127">
        <v>0</v>
      </c>
      <c r="AY195" s="127"/>
      <c r="AZ195" s="127"/>
      <c r="BA195" s="127"/>
      <c r="BB195" s="127">
        <v>0</v>
      </c>
      <c r="BC195" s="127"/>
      <c r="BD195" s="127"/>
      <c r="BE195" s="127"/>
      <c r="BF195" s="127"/>
      <c r="BG195" s="127">
        <v>0</v>
      </c>
      <c r="BH195" s="127"/>
      <c r="BI195" s="127"/>
      <c r="BJ195" s="127"/>
      <c r="BK195" s="127">
        <v>0</v>
      </c>
      <c r="BL195" s="127"/>
      <c r="BM195" s="127"/>
      <c r="BN195" s="127"/>
      <c r="BO195" s="127"/>
      <c r="BP195" s="127" t="s">
        <v>987</v>
      </c>
      <c r="BQ195" s="127" t="s">
        <v>975</v>
      </c>
      <c r="BR195" s="127" t="s">
        <v>988</v>
      </c>
      <c r="BS195" s="127" t="s">
        <v>989</v>
      </c>
      <c r="BT195" s="127" t="s">
        <v>188</v>
      </c>
      <c r="BU195" s="127" t="s">
        <v>189</v>
      </c>
      <c r="BV195" s="127" t="s">
        <v>304</v>
      </c>
      <c r="BW195" s="127" t="s">
        <v>191</v>
      </c>
      <c r="BX195" s="127" t="s">
        <v>189</v>
      </c>
      <c r="BY195" s="127" t="s">
        <v>189</v>
      </c>
      <c r="BZ195" s="127" t="s">
        <v>990</v>
      </c>
    </row>
    <row r="196" spans="2:78" s="121" customFormat="1" outlineLevel="2">
      <c r="B196" s="121" t="s">
        <v>859</v>
      </c>
      <c r="C196" s="107" t="s">
        <v>952</v>
      </c>
      <c r="D196" s="107" t="s">
        <v>195</v>
      </c>
      <c r="F196" s="107" t="s">
        <v>178</v>
      </c>
      <c r="G196" s="107" t="s">
        <v>199</v>
      </c>
      <c r="H196" s="122" t="s">
        <v>991</v>
      </c>
      <c r="I196" s="124"/>
      <c r="J196" s="124"/>
      <c r="K196" s="124" t="s">
        <v>992</v>
      </c>
      <c r="L196" s="124" t="s">
        <v>298</v>
      </c>
      <c r="M196" s="125" t="s">
        <v>183</v>
      </c>
      <c r="N196" s="126">
        <f t="shared" si="20"/>
        <v>8000</v>
      </c>
      <c r="O196" s="127">
        <v>0</v>
      </c>
      <c r="P196" s="127"/>
      <c r="Q196" s="127"/>
      <c r="R196" s="127"/>
      <c r="S196" s="127"/>
      <c r="T196" s="130">
        <v>1000</v>
      </c>
      <c r="U196" s="130">
        <v>1000</v>
      </c>
      <c r="V196" s="130">
        <v>2000</v>
      </c>
      <c r="W196" s="130">
        <v>2000</v>
      </c>
      <c r="X196" s="130">
        <v>1000</v>
      </c>
      <c r="Y196" s="130">
        <v>1000</v>
      </c>
      <c r="Z196" s="127"/>
      <c r="AA196" s="127"/>
      <c r="AB196" s="127"/>
      <c r="AC196" s="127"/>
      <c r="AD196" s="127"/>
      <c r="AE196" s="127"/>
      <c r="AF196" s="127"/>
      <c r="AG196" s="127">
        <v>0</v>
      </c>
      <c r="AH196" s="127"/>
      <c r="AI196" s="127"/>
      <c r="AJ196" s="127"/>
      <c r="AK196" s="127">
        <v>0</v>
      </c>
      <c r="AL196" s="127"/>
      <c r="AM196" s="127"/>
      <c r="AN196" s="127"/>
      <c r="AO196" s="127">
        <v>0</v>
      </c>
      <c r="AP196" s="127"/>
      <c r="AQ196" s="127"/>
      <c r="AR196" s="127"/>
      <c r="AS196" s="127"/>
      <c r="AT196" s="127">
        <v>0</v>
      </c>
      <c r="AU196" s="127"/>
      <c r="AV196" s="127"/>
      <c r="AW196" s="127"/>
      <c r="AX196" s="127">
        <v>0</v>
      </c>
      <c r="AY196" s="127"/>
      <c r="AZ196" s="127"/>
      <c r="BA196" s="127"/>
      <c r="BB196" s="127"/>
      <c r="BC196" s="127"/>
      <c r="BD196" s="127"/>
      <c r="BE196" s="127"/>
      <c r="BF196" s="127"/>
      <c r="BG196" s="127">
        <v>0</v>
      </c>
      <c r="BH196" s="127"/>
      <c r="BI196" s="127"/>
      <c r="BJ196" s="127"/>
      <c r="BK196" s="127">
        <v>0</v>
      </c>
      <c r="BL196" s="127"/>
      <c r="BM196" s="127"/>
      <c r="BN196" s="127"/>
      <c r="BO196" s="127"/>
      <c r="BP196" s="127" t="s">
        <v>993</v>
      </c>
      <c r="BQ196" s="127" t="s">
        <v>966</v>
      </c>
      <c r="BR196" s="127" t="s">
        <v>994</v>
      </c>
      <c r="BS196" s="127" t="s">
        <v>995</v>
      </c>
      <c r="BT196" s="127" t="s">
        <v>996</v>
      </c>
      <c r="BU196" s="127" t="s">
        <v>997</v>
      </c>
      <c r="BV196" s="127" t="s">
        <v>304</v>
      </c>
      <c r="BW196" s="127" t="s">
        <v>191</v>
      </c>
      <c r="BX196" s="127" t="s">
        <v>691</v>
      </c>
      <c r="BY196" s="127" t="s">
        <v>998</v>
      </c>
      <c r="BZ196" s="131" t="s">
        <v>307</v>
      </c>
    </row>
    <row r="197" spans="2:78" s="121" customFormat="1" outlineLevel="2">
      <c r="B197" s="121" t="s">
        <v>859</v>
      </c>
      <c r="C197" s="107" t="s">
        <v>952</v>
      </c>
      <c r="D197" s="107" t="s">
        <v>195</v>
      </c>
      <c r="F197" s="107" t="s">
        <v>178</v>
      </c>
      <c r="H197" s="122" t="s">
        <v>999</v>
      </c>
      <c r="I197" s="124"/>
      <c r="J197" s="124"/>
      <c r="K197" s="124" t="s">
        <v>1000</v>
      </c>
      <c r="L197" s="124" t="s">
        <v>298</v>
      </c>
      <c r="M197" s="125" t="s">
        <v>183</v>
      </c>
      <c r="N197" s="126">
        <f t="shared" si="20"/>
        <v>2400</v>
      </c>
      <c r="O197" s="127">
        <v>0</v>
      </c>
      <c r="P197" s="127"/>
      <c r="Q197" s="127"/>
      <c r="R197" s="127"/>
      <c r="S197" s="127"/>
      <c r="T197" s="127">
        <v>0</v>
      </c>
      <c r="U197" s="127"/>
      <c r="V197" s="127"/>
      <c r="W197" s="127"/>
      <c r="X197" s="127">
        <v>0</v>
      </c>
      <c r="Y197" s="127"/>
      <c r="Z197" s="127"/>
      <c r="AA197" s="127"/>
      <c r="AB197" s="127"/>
      <c r="AC197" s="127"/>
      <c r="AD197" s="127"/>
      <c r="AE197" s="127"/>
      <c r="AF197" s="127"/>
      <c r="AG197" s="127">
        <v>0</v>
      </c>
      <c r="AH197" s="127"/>
      <c r="AI197" s="127"/>
      <c r="AJ197" s="127"/>
      <c r="AK197" s="127">
        <v>0</v>
      </c>
      <c r="AL197" s="127"/>
      <c r="AM197" s="127"/>
      <c r="AN197" s="127">
        <v>1200</v>
      </c>
      <c r="AO197" s="127"/>
      <c r="AP197" s="127">
        <v>1200</v>
      </c>
      <c r="AQ197" s="127"/>
      <c r="AR197" s="127"/>
      <c r="AS197" s="127"/>
      <c r="AT197" s="127">
        <v>0</v>
      </c>
      <c r="AU197" s="127"/>
      <c r="AV197" s="127"/>
      <c r="AW197" s="127"/>
      <c r="AX197" s="127">
        <v>0</v>
      </c>
      <c r="AY197" s="127"/>
      <c r="AZ197" s="127"/>
      <c r="BA197" s="127"/>
      <c r="BB197" s="127">
        <v>0</v>
      </c>
      <c r="BC197" s="127"/>
      <c r="BD197" s="127"/>
      <c r="BE197" s="127"/>
      <c r="BF197" s="127"/>
      <c r="BG197" s="127">
        <v>0</v>
      </c>
      <c r="BH197" s="127"/>
      <c r="BI197" s="127"/>
      <c r="BJ197" s="127"/>
      <c r="BK197" s="127">
        <v>0</v>
      </c>
      <c r="BL197" s="127"/>
      <c r="BM197" s="127"/>
      <c r="BN197" s="127"/>
      <c r="BO197" s="127"/>
      <c r="BP197" s="127" t="s">
        <v>1001</v>
      </c>
      <c r="BQ197" s="127" t="s">
        <v>1002</v>
      </c>
      <c r="BR197" s="127" t="s">
        <v>1003</v>
      </c>
      <c r="BS197" s="127" t="s">
        <v>1004</v>
      </c>
      <c r="BT197" s="127" t="s">
        <v>303</v>
      </c>
      <c r="BU197" s="127" t="s">
        <v>997</v>
      </c>
      <c r="BV197" s="127" t="s">
        <v>304</v>
      </c>
      <c r="BW197" s="127" t="s">
        <v>191</v>
      </c>
      <c r="BX197" s="127" t="s">
        <v>1005</v>
      </c>
      <c r="BY197" s="127" t="s">
        <v>1006</v>
      </c>
      <c r="BZ197" s="131" t="s">
        <v>307</v>
      </c>
    </row>
    <row r="198" spans="2:78" s="121" customFormat="1" outlineLevel="2">
      <c r="B198" s="121" t="s">
        <v>859</v>
      </c>
      <c r="C198" s="107" t="s">
        <v>952</v>
      </c>
      <c r="D198" s="107"/>
      <c r="F198" s="107" t="s">
        <v>89</v>
      </c>
      <c r="H198" s="122" t="s">
        <v>999</v>
      </c>
      <c r="I198" s="124"/>
      <c r="J198" s="124"/>
      <c r="K198" s="124" t="s">
        <v>1000</v>
      </c>
      <c r="L198" s="124" t="s">
        <v>298</v>
      </c>
      <c r="M198" s="125" t="s">
        <v>183</v>
      </c>
      <c r="N198" s="126">
        <f t="shared" si="20"/>
        <v>9000</v>
      </c>
      <c r="O198" s="127">
        <v>0</v>
      </c>
      <c r="P198" s="127"/>
      <c r="Q198" s="127"/>
      <c r="R198" s="127"/>
      <c r="S198" s="127"/>
      <c r="T198" s="127">
        <v>0</v>
      </c>
      <c r="U198" s="127"/>
      <c r="V198" s="127"/>
      <c r="W198" s="127"/>
      <c r="X198" s="127">
        <v>0</v>
      </c>
      <c r="Y198" s="127"/>
      <c r="Z198" s="127"/>
      <c r="AA198" s="127"/>
      <c r="AB198" s="127"/>
      <c r="AC198" s="127"/>
      <c r="AD198" s="127"/>
      <c r="AE198" s="127"/>
      <c r="AF198" s="127"/>
      <c r="AG198" s="127">
        <v>0</v>
      </c>
      <c r="AH198" s="127"/>
      <c r="AI198" s="127"/>
      <c r="AJ198" s="127"/>
      <c r="AK198" s="127">
        <v>0</v>
      </c>
      <c r="AL198" s="127"/>
      <c r="AM198" s="127"/>
      <c r="AN198" s="127"/>
      <c r="AO198" s="127">
        <v>0</v>
      </c>
      <c r="AP198" s="127">
        <v>1000</v>
      </c>
      <c r="AQ198" s="127">
        <v>1000</v>
      </c>
      <c r="AR198" s="127">
        <v>7000</v>
      </c>
      <c r="AS198" s="127"/>
      <c r="AT198" s="127">
        <v>0</v>
      </c>
      <c r="AU198" s="127"/>
      <c r="AV198" s="127"/>
      <c r="AW198" s="127"/>
      <c r="AX198" s="127">
        <v>0</v>
      </c>
      <c r="AY198" s="127"/>
      <c r="AZ198" s="127"/>
      <c r="BA198" s="127"/>
      <c r="BB198" s="127">
        <v>0</v>
      </c>
      <c r="BC198" s="127"/>
      <c r="BD198" s="127"/>
      <c r="BE198" s="127"/>
      <c r="BF198" s="127"/>
      <c r="BG198" s="127">
        <v>0</v>
      </c>
      <c r="BH198" s="127"/>
      <c r="BI198" s="127"/>
      <c r="BJ198" s="127"/>
      <c r="BK198" s="127">
        <v>0</v>
      </c>
      <c r="BL198" s="127"/>
      <c r="BM198" s="127"/>
      <c r="BN198" s="127"/>
      <c r="BO198" s="127"/>
      <c r="BP198" s="127" t="s">
        <v>1001</v>
      </c>
      <c r="BQ198" s="127" t="s">
        <v>1002</v>
      </c>
      <c r="BR198" s="127" t="s">
        <v>1003</v>
      </c>
      <c r="BS198" s="127" t="s">
        <v>1004</v>
      </c>
      <c r="BT198" s="127" t="s">
        <v>303</v>
      </c>
      <c r="BU198" s="127" t="s">
        <v>997</v>
      </c>
      <c r="BV198" s="127" t="s">
        <v>304</v>
      </c>
      <c r="BW198" s="127" t="s">
        <v>191</v>
      </c>
      <c r="BX198" s="127" t="s">
        <v>1005</v>
      </c>
      <c r="BY198" s="127" t="s">
        <v>1006</v>
      </c>
      <c r="BZ198" s="131" t="s">
        <v>307</v>
      </c>
    </row>
    <row r="199" spans="2:78" s="121" customFormat="1" outlineLevel="2">
      <c r="B199" s="121" t="s">
        <v>859</v>
      </c>
      <c r="C199" s="107" t="s">
        <v>952</v>
      </c>
      <c r="D199" s="107" t="s">
        <v>195</v>
      </c>
      <c r="F199" s="107" t="s">
        <v>178</v>
      </c>
      <c r="H199" s="122" t="s">
        <v>1007</v>
      </c>
      <c r="I199" s="124"/>
      <c r="J199" s="124"/>
      <c r="K199" s="124" t="s">
        <v>1008</v>
      </c>
      <c r="L199" s="124" t="s">
        <v>298</v>
      </c>
      <c r="M199" s="125" t="s">
        <v>183</v>
      </c>
      <c r="N199" s="126">
        <f t="shared" si="20"/>
        <v>4800</v>
      </c>
      <c r="O199" s="127">
        <v>0</v>
      </c>
      <c r="P199" s="127"/>
      <c r="Q199" s="127"/>
      <c r="R199" s="127"/>
      <c r="S199" s="127"/>
      <c r="T199" s="127">
        <v>0</v>
      </c>
      <c r="U199" s="127"/>
      <c r="V199" s="127"/>
      <c r="W199" s="127"/>
      <c r="X199" s="127">
        <v>0</v>
      </c>
      <c r="Y199" s="127"/>
      <c r="Z199" s="127"/>
      <c r="AA199" s="127"/>
      <c r="AB199" s="127"/>
      <c r="AC199" s="127"/>
      <c r="AD199" s="127"/>
      <c r="AE199" s="127"/>
      <c r="AF199" s="127">
        <v>1200</v>
      </c>
      <c r="AG199" s="127">
        <v>1200</v>
      </c>
      <c r="AH199" s="127"/>
      <c r="AI199" s="127">
        <v>2400</v>
      </c>
      <c r="AJ199" s="127"/>
      <c r="AK199" s="127">
        <v>0</v>
      </c>
      <c r="AL199" s="127"/>
      <c r="AM199" s="127"/>
      <c r="AN199" s="127"/>
      <c r="AO199" s="127">
        <v>0</v>
      </c>
      <c r="AP199" s="127"/>
      <c r="AQ199" s="127"/>
      <c r="AR199" s="127"/>
      <c r="AS199" s="127"/>
      <c r="AT199" s="127">
        <v>0</v>
      </c>
      <c r="AU199" s="127"/>
      <c r="AV199" s="127"/>
      <c r="AW199" s="127"/>
      <c r="AX199" s="127">
        <v>0</v>
      </c>
      <c r="AY199" s="127"/>
      <c r="AZ199" s="127"/>
      <c r="BA199" s="127"/>
      <c r="BB199" s="127">
        <v>0</v>
      </c>
      <c r="BC199" s="127"/>
      <c r="BD199" s="127"/>
      <c r="BE199" s="127"/>
      <c r="BF199" s="127"/>
      <c r="BG199" s="127">
        <v>0</v>
      </c>
      <c r="BH199" s="127"/>
      <c r="BI199" s="127"/>
      <c r="BJ199" s="127"/>
      <c r="BK199" s="127">
        <v>0</v>
      </c>
      <c r="BL199" s="127"/>
      <c r="BM199" s="127"/>
      <c r="BN199" s="127"/>
      <c r="BO199" s="127"/>
      <c r="BP199" s="127" t="s">
        <v>1009</v>
      </c>
      <c r="BQ199" s="127" t="s">
        <v>300</v>
      </c>
      <c r="BR199" s="127" t="s">
        <v>1010</v>
      </c>
      <c r="BS199" s="127" t="s">
        <v>1011</v>
      </c>
      <c r="BT199" s="127" t="s">
        <v>303</v>
      </c>
      <c r="BU199" s="127" t="s">
        <v>1012</v>
      </c>
      <c r="BV199" s="127" t="s">
        <v>205</v>
      </c>
      <c r="BW199" s="127" t="s">
        <v>191</v>
      </c>
      <c r="BX199" s="127" t="s">
        <v>1013</v>
      </c>
      <c r="BY199" s="127" t="s">
        <v>813</v>
      </c>
      <c r="BZ199" s="131" t="s">
        <v>307</v>
      </c>
    </row>
    <row r="200" spans="2:78" s="121" customFormat="1" outlineLevel="2">
      <c r="B200" s="121" t="s">
        <v>859</v>
      </c>
      <c r="C200" s="107" t="s">
        <v>952</v>
      </c>
      <c r="D200" s="107" t="s">
        <v>195</v>
      </c>
      <c r="F200" s="107" t="s">
        <v>178</v>
      </c>
      <c r="H200" s="122" t="s">
        <v>1014</v>
      </c>
      <c r="I200" s="124"/>
      <c r="J200" s="124"/>
      <c r="K200" s="124" t="s">
        <v>1015</v>
      </c>
      <c r="L200" s="124" t="s">
        <v>298</v>
      </c>
      <c r="M200" s="125" t="s">
        <v>183</v>
      </c>
      <c r="N200" s="126">
        <f t="shared" si="20"/>
        <v>3330</v>
      </c>
      <c r="O200" s="127"/>
      <c r="P200" s="127"/>
      <c r="Q200" s="127"/>
      <c r="R200" s="127"/>
      <c r="S200" s="127"/>
      <c r="T200" s="127">
        <v>0</v>
      </c>
      <c r="U200" s="127"/>
      <c r="V200" s="127"/>
      <c r="W200" s="127"/>
      <c r="X200" s="127">
        <v>0</v>
      </c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>
        <v>1110</v>
      </c>
      <c r="AI200" s="127"/>
      <c r="AJ200" s="127">
        <v>1110</v>
      </c>
      <c r="AK200" s="127">
        <v>0</v>
      </c>
      <c r="AL200" s="127">
        <v>1110</v>
      </c>
      <c r="AM200" s="127"/>
      <c r="AN200" s="127"/>
      <c r="AO200" s="127">
        <v>0</v>
      </c>
      <c r="AP200" s="127"/>
      <c r="AQ200" s="127"/>
      <c r="AR200" s="127"/>
      <c r="AS200" s="127"/>
      <c r="AT200" s="127">
        <v>0</v>
      </c>
      <c r="AU200" s="127"/>
      <c r="AV200" s="127"/>
      <c r="AW200" s="127"/>
      <c r="AX200" s="127">
        <v>0</v>
      </c>
      <c r="AY200" s="127"/>
      <c r="AZ200" s="127"/>
      <c r="BA200" s="127"/>
      <c r="BB200" s="127">
        <v>0</v>
      </c>
      <c r="BC200" s="127"/>
      <c r="BD200" s="127"/>
      <c r="BE200" s="127"/>
      <c r="BF200" s="127"/>
      <c r="BG200" s="127">
        <v>0</v>
      </c>
      <c r="BH200" s="127"/>
      <c r="BI200" s="127"/>
      <c r="BJ200" s="127"/>
      <c r="BK200" s="127">
        <v>0</v>
      </c>
      <c r="BL200" s="127"/>
      <c r="BM200" s="127"/>
      <c r="BN200" s="127"/>
      <c r="BO200" s="127"/>
      <c r="BP200" s="127" t="s">
        <v>1016</v>
      </c>
      <c r="BQ200" s="127" t="s">
        <v>300</v>
      </c>
      <c r="BR200" s="127" t="s">
        <v>1017</v>
      </c>
      <c r="BS200" s="127" t="s">
        <v>1018</v>
      </c>
      <c r="BT200" s="127" t="s">
        <v>188</v>
      </c>
      <c r="BU200" s="127" t="s">
        <v>189</v>
      </c>
      <c r="BV200" s="127" t="s">
        <v>205</v>
      </c>
      <c r="BW200" s="127" t="s">
        <v>191</v>
      </c>
      <c r="BX200" s="127" t="s">
        <v>189</v>
      </c>
      <c r="BY200" s="127" t="s">
        <v>189</v>
      </c>
      <c r="BZ200" s="131" t="s">
        <v>307</v>
      </c>
    </row>
    <row r="201" spans="2:78" s="121" customFormat="1" outlineLevel="2">
      <c r="B201" s="121" t="s">
        <v>1019</v>
      </c>
      <c r="C201" s="107" t="s">
        <v>952</v>
      </c>
      <c r="F201" s="121" t="s">
        <v>89</v>
      </c>
      <c r="G201" s="107"/>
      <c r="H201" s="122" t="s">
        <v>1020</v>
      </c>
      <c r="I201" s="145" t="s">
        <v>1021</v>
      </c>
      <c r="J201" s="129"/>
      <c r="K201" s="124" t="s">
        <v>1022</v>
      </c>
      <c r="L201" s="124" t="s">
        <v>863</v>
      </c>
      <c r="M201" s="125" t="s">
        <v>249</v>
      </c>
      <c r="N201" s="124">
        <f t="shared" si="20"/>
        <v>16800</v>
      </c>
      <c r="O201" s="130">
        <v>1600</v>
      </c>
      <c r="P201" s="130">
        <v>3200</v>
      </c>
      <c r="Q201" s="130">
        <v>1600</v>
      </c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30">
        <v>1600</v>
      </c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30">
        <v>1600</v>
      </c>
      <c r="AU201" s="127"/>
      <c r="AV201" s="127"/>
      <c r="AW201" s="127"/>
      <c r="AX201" s="127"/>
      <c r="AY201" s="127"/>
      <c r="AZ201" s="130">
        <v>1600</v>
      </c>
      <c r="BA201" s="130">
        <v>1600</v>
      </c>
      <c r="BB201" s="127"/>
      <c r="BC201" s="127"/>
      <c r="BD201" s="130">
        <v>1600</v>
      </c>
      <c r="BE201" s="127"/>
      <c r="BF201" s="127"/>
      <c r="BG201" s="130">
        <v>1200</v>
      </c>
      <c r="BH201" s="127"/>
      <c r="BI201" s="130">
        <v>1200</v>
      </c>
      <c r="BJ201" s="127"/>
      <c r="BK201" s="127"/>
      <c r="BL201" s="127"/>
      <c r="BM201" s="127"/>
      <c r="BN201" s="127"/>
      <c r="BO201" s="127"/>
      <c r="BP201" s="127"/>
      <c r="BQ201" s="127"/>
      <c r="BR201" s="127"/>
      <c r="BS201" s="127"/>
      <c r="BT201" s="127"/>
      <c r="BU201" s="127"/>
      <c r="BV201" s="127"/>
      <c r="BW201" s="127"/>
      <c r="BX201" s="127"/>
      <c r="BY201" s="127"/>
      <c r="BZ201" s="127"/>
    </row>
    <row r="202" spans="2:78" s="121" customFormat="1" outlineLevel="2">
      <c r="B202" s="121" t="s">
        <v>1019</v>
      </c>
      <c r="C202" s="107" t="s">
        <v>952</v>
      </c>
      <c r="E202" s="121" t="s">
        <v>1023</v>
      </c>
      <c r="F202" s="121" t="s">
        <v>89</v>
      </c>
      <c r="H202" s="122" t="s">
        <v>1020</v>
      </c>
      <c r="I202" s="145" t="s">
        <v>1021</v>
      </c>
      <c r="J202" s="124"/>
      <c r="K202" s="124" t="s">
        <v>1024</v>
      </c>
      <c r="L202" s="124" t="s">
        <v>863</v>
      </c>
      <c r="M202" s="125" t="s">
        <v>249</v>
      </c>
      <c r="N202" s="124">
        <f t="shared" si="20"/>
        <v>14400</v>
      </c>
      <c r="O202" s="127"/>
      <c r="P202" s="127"/>
      <c r="Q202" s="127"/>
      <c r="R202" s="127"/>
      <c r="S202" s="127"/>
      <c r="T202" s="130">
        <v>1600</v>
      </c>
      <c r="U202" s="130">
        <v>1600</v>
      </c>
      <c r="V202" s="127"/>
      <c r="W202" s="130">
        <v>1600</v>
      </c>
      <c r="X202" s="127"/>
      <c r="Y202" s="127"/>
      <c r="Z202" s="127"/>
      <c r="AA202" s="127"/>
      <c r="AB202" s="127"/>
      <c r="AC202" s="130">
        <v>1600</v>
      </c>
      <c r="AD202" s="127"/>
      <c r="AE202" s="127"/>
      <c r="AF202" s="130">
        <v>1600</v>
      </c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30">
        <v>1600</v>
      </c>
      <c r="AV202" s="130">
        <v>1600</v>
      </c>
      <c r="AW202" s="127"/>
      <c r="AX202" s="127"/>
      <c r="AY202" s="127"/>
      <c r="AZ202" s="130">
        <v>1600</v>
      </c>
      <c r="BA202" s="127"/>
      <c r="BB202" s="127"/>
      <c r="BC202" s="127"/>
      <c r="BD202" s="127"/>
      <c r="BE202" s="130">
        <v>1600</v>
      </c>
      <c r="BF202" s="127"/>
      <c r="BG202" s="127"/>
      <c r="BH202" s="127"/>
      <c r="BI202" s="127"/>
      <c r="BJ202" s="127"/>
      <c r="BK202" s="127"/>
      <c r="BL202" s="127">
        <v>0</v>
      </c>
      <c r="BM202" s="127">
        <v>0</v>
      </c>
      <c r="BN202" s="127">
        <v>0</v>
      </c>
      <c r="BO202" s="127">
        <v>0</v>
      </c>
      <c r="BP202" s="127"/>
      <c r="BQ202" s="127"/>
      <c r="BR202" s="127"/>
      <c r="BS202" s="127"/>
      <c r="BT202" s="127"/>
      <c r="BU202" s="127"/>
      <c r="BV202" s="127"/>
      <c r="BW202" s="127"/>
      <c r="BX202" s="127"/>
      <c r="BY202" s="127"/>
      <c r="BZ202" s="127"/>
    </row>
    <row r="203" spans="2:78" s="121" customFormat="1" outlineLevel="2">
      <c r="B203" s="121" t="s">
        <v>1019</v>
      </c>
      <c r="C203" s="107" t="s">
        <v>952</v>
      </c>
      <c r="D203" s="107" t="s">
        <v>198</v>
      </c>
      <c r="F203" s="107" t="s">
        <v>178</v>
      </c>
      <c r="H203" s="147" t="s">
        <v>1025</v>
      </c>
      <c r="I203" s="124"/>
      <c r="J203" s="124"/>
      <c r="K203" s="124"/>
      <c r="L203" s="124"/>
      <c r="M203" s="125" t="s">
        <v>183</v>
      </c>
      <c r="N203" s="124">
        <v>12000</v>
      </c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  <c r="BG203" s="127"/>
      <c r="BH203" s="127"/>
      <c r="BI203" s="127"/>
      <c r="BJ203" s="127"/>
      <c r="BK203" s="127"/>
      <c r="BL203" s="127"/>
      <c r="BM203" s="127"/>
      <c r="BN203" s="127"/>
      <c r="BO203" s="127"/>
      <c r="BP203" s="127"/>
      <c r="BQ203" s="127"/>
      <c r="BR203" s="127"/>
      <c r="BS203" s="127"/>
      <c r="BT203" s="127"/>
      <c r="BU203" s="127"/>
      <c r="BV203" s="127"/>
      <c r="BW203" s="127"/>
      <c r="BX203" s="127"/>
      <c r="BY203" s="127"/>
      <c r="BZ203" s="127"/>
    </row>
    <row r="204" spans="2:78" s="139" customFormat="1" outlineLevel="1">
      <c r="C204" s="140" t="s">
        <v>1026</v>
      </c>
      <c r="H204" s="141"/>
      <c r="I204" s="141"/>
      <c r="J204" s="141"/>
      <c r="K204" s="141"/>
      <c r="L204" s="141"/>
      <c r="M204" s="142"/>
      <c r="N204" s="143">
        <f t="shared" ref="N204:BO204" si="21">SUBTOTAL(9,N189:N203)</f>
        <v>225730</v>
      </c>
      <c r="O204" s="144">
        <f t="shared" si="21"/>
        <v>4900</v>
      </c>
      <c r="P204" s="144">
        <f t="shared" si="21"/>
        <v>5400</v>
      </c>
      <c r="Q204" s="144">
        <f t="shared" si="21"/>
        <v>4900</v>
      </c>
      <c r="R204" s="144">
        <f t="shared" si="21"/>
        <v>3300</v>
      </c>
      <c r="S204" s="144">
        <f t="shared" si="21"/>
        <v>3300</v>
      </c>
      <c r="T204" s="144">
        <f t="shared" si="21"/>
        <v>4800</v>
      </c>
      <c r="U204" s="144">
        <f t="shared" si="21"/>
        <v>5900</v>
      </c>
      <c r="V204" s="144">
        <f t="shared" si="21"/>
        <v>4200</v>
      </c>
      <c r="W204" s="144">
        <f t="shared" si="21"/>
        <v>6900</v>
      </c>
      <c r="X204" s="144">
        <f t="shared" si="21"/>
        <v>3200</v>
      </c>
      <c r="Y204" s="144">
        <f t="shared" si="21"/>
        <v>4300</v>
      </c>
      <c r="Z204" s="144">
        <f t="shared" si="21"/>
        <v>5700</v>
      </c>
      <c r="AA204" s="144">
        <f t="shared" si="21"/>
        <v>5800</v>
      </c>
      <c r="AB204" s="144">
        <f t="shared" si="21"/>
        <v>5700</v>
      </c>
      <c r="AC204" s="144">
        <f t="shared" si="21"/>
        <v>8500</v>
      </c>
      <c r="AD204" s="144">
        <f t="shared" si="21"/>
        <v>7300</v>
      </c>
      <c r="AE204" s="144">
        <f t="shared" si="21"/>
        <v>6900</v>
      </c>
      <c r="AF204" s="144">
        <f t="shared" si="21"/>
        <v>8500</v>
      </c>
      <c r="AG204" s="144">
        <f t="shared" si="21"/>
        <v>8100</v>
      </c>
      <c r="AH204" s="144">
        <f t="shared" si="21"/>
        <v>5710</v>
      </c>
      <c r="AI204" s="144">
        <f t="shared" si="21"/>
        <v>9300</v>
      </c>
      <c r="AJ204" s="144">
        <f t="shared" si="21"/>
        <v>5710</v>
      </c>
      <c r="AK204" s="144">
        <f t="shared" si="21"/>
        <v>3500</v>
      </c>
      <c r="AL204" s="144">
        <f t="shared" si="21"/>
        <v>3510</v>
      </c>
      <c r="AM204" s="144">
        <f t="shared" si="21"/>
        <v>0</v>
      </c>
      <c r="AN204" s="144">
        <f t="shared" si="21"/>
        <v>1200</v>
      </c>
      <c r="AO204" s="144">
        <f t="shared" si="21"/>
        <v>0</v>
      </c>
      <c r="AP204" s="144">
        <f t="shared" si="21"/>
        <v>2200</v>
      </c>
      <c r="AQ204" s="144">
        <f t="shared" si="21"/>
        <v>1000</v>
      </c>
      <c r="AR204" s="144">
        <f t="shared" si="21"/>
        <v>7000</v>
      </c>
      <c r="AS204" s="144">
        <f t="shared" si="21"/>
        <v>0</v>
      </c>
      <c r="AT204" s="144">
        <f t="shared" si="21"/>
        <v>1600</v>
      </c>
      <c r="AU204" s="144">
        <f t="shared" si="21"/>
        <v>1600</v>
      </c>
      <c r="AV204" s="144">
        <f t="shared" si="21"/>
        <v>1600</v>
      </c>
      <c r="AW204" s="144">
        <f t="shared" si="21"/>
        <v>0</v>
      </c>
      <c r="AX204" s="144">
        <f t="shared" si="21"/>
        <v>2400</v>
      </c>
      <c r="AY204" s="144">
        <f t="shared" si="21"/>
        <v>2400</v>
      </c>
      <c r="AZ204" s="144">
        <f t="shared" si="21"/>
        <v>5600</v>
      </c>
      <c r="BA204" s="144">
        <f t="shared" si="21"/>
        <v>4000</v>
      </c>
      <c r="BB204" s="144">
        <f t="shared" si="21"/>
        <v>2400</v>
      </c>
      <c r="BC204" s="144">
        <f t="shared" si="21"/>
        <v>2000</v>
      </c>
      <c r="BD204" s="144">
        <f t="shared" si="21"/>
        <v>4600</v>
      </c>
      <c r="BE204" s="144">
        <f t="shared" si="21"/>
        <v>9000</v>
      </c>
      <c r="BF204" s="144">
        <f t="shared" si="21"/>
        <v>6400</v>
      </c>
      <c r="BG204" s="144">
        <f t="shared" si="21"/>
        <v>6200</v>
      </c>
      <c r="BH204" s="144">
        <f t="shared" si="21"/>
        <v>4000</v>
      </c>
      <c r="BI204" s="144">
        <f t="shared" si="21"/>
        <v>6200</v>
      </c>
      <c r="BJ204" s="144">
        <f t="shared" si="21"/>
        <v>2000</v>
      </c>
      <c r="BK204" s="144">
        <f t="shared" si="21"/>
        <v>3000</v>
      </c>
      <c r="BL204" s="144">
        <f t="shared" si="21"/>
        <v>2000</v>
      </c>
      <c r="BM204" s="144">
        <f t="shared" si="21"/>
        <v>0</v>
      </c>
      <c r="BN204" s="144">
        <f t="shared" si="21"/>
        <v>0</v>
      </c>
      <c r="BO204" s="144">
        <f t="shared" si="21"/>
        <v>0</v>
      </c>
      <c r="BP204" s="144"/>
      <c r="BQ204" s="144"/>
      <c r="BR204" s="144"/>
      <c r="BS204" s="144"/>
      <c r="BT204" s="144"/>
      <c r="BU204" s="144"/>
      <c r="BV204" s="144"/>
      <c r="BW204" s="144"/>
      <c r="BX204" s="144"/>
      <c r="BY204" s="144"/>
      <c r="BZ204" s="144">
        <f>SUBTOTAL(9,BZ189:BZ200)</f>
        <v>0</v>
      </c>
    </row>
    <row r="205" spans="2:78" s="121" customFormat="1" outlineLevel="2">
      <c r="B205" s="121" t="s">
        <v>859</v>
      </c>
      <c r="C205" s="107" t="s">
        <v>1027</v>
      </c>
      <c r="D205" s="107" t="s">
        <v>195</v>
      </c>
      <c r="F205" s="107" t="s">
        <v>178</v>
      </c>
      <c r="G205" s="107" t="s">
        <v>388</v>
      </c>
      <c r="H205" s="122" t="s">
        <v>1028</v>
      </c>
      <c r="I205" s="124"/>
      <c r="J205" s="124"/>
      <c r="K205" s="124" t="s">
        <v>1029</v>
      </c>
      <c r="L205" s="124" t="s">
        <v>863</v>
      </c>
      <c r="M205" s="125" t="s">
        <v>183</v>
      </c>
      <c r="N205" s="126">
        <f t="shared" ref="N205:N213" si="22">SUM(O205:BO205)</f>
        <v>0</v>
      </c>
      <c r="O205" s="127"/>
      <c r="P205" s="127"/>
      <c r="Q205" s="127"/>
      <c r="R205" s="127"/>
      <c r="S205" s="127"/>
      <c r="T205" s="127">
        <v>0</v>
      </c>
      <c r="U205" s="127"/>
      <c r="V205" s="127"/>
      <c r="W205" s="127"/>
      <c r="X205" s="127">
        <v>0</v>
      </c>
      <c r="Y205" s="127"/>
      <c r="Z205" s="127"/>
      <c r="AA205" s="127"/>
      <c r="AB205" s="127">
        <v>0</v>
      </c>
      <c r="AC205" s="127"/>
      <c r="AD205" s="127"/>
      <c r="AE205" s="127"/>
      <c r="AF205" s="127"/>
      <c r="AG205" s="127">
        <v>0</v>
      </c>
      <c r="AH205" s="127"/>
      <c r="AI205" s="127"/>
      <c r="AJ205" s="127"/>
      <c r="AK205" s="127">
        <v>0</v>
      </c>
      <c r="AL205" s="127"/>
      <c r="AM205" s="127"/>
      <c r="AN205" s="127"/>
      <c r="AO205" s="127">
        <v>0</v>
      </c>
      <c r="AP205" s="127"/>
      <c r="AQ205" s="127"/>
      <c r="AR205" s="127"/>
      <c r="AS205" s="127"/>
      <c r="AT205" s="127">
        <v>0</v>
      </c>
      <c r="AU205" s="127"/>
      <c r="AV205" s="127"/>
      <c r="AW205" s="127"/>
      <c r="AX205" s="127">
        <v>0</v>
      </c>
      <c r="AY205" s="127"/>
      <c r="AZ205" s="127"/>
      <c r="BA205" s="127"/>
      <c r="BB205" s="127">
        <v>0</v>
      </c>
      <c r="BC205" s="127"/>
      <c r="BD205" s="127"/>
      <c r="BE205" s="127"/>
      <c r="BF205" s="127"/>
      <c r="BG205" s="127">
        <v>0</v>
      </c>
      <c r="BH205" s="127"/>
      <c r="BI205" s="127"/>
      <c r="BJ205" s="127"/>
      <c r="BK205" s="127">
        <v>0</v>
      </c>
      <c r="BL205" s="127"/>
      <c r="BM205" s="127"/>
      <c r="BN205" s="127"/>
      <c r="BO205" s="127"/>
      <c r="BP205" s="127" t="s">
        <v>1030</v>
      </c>
      <c r="BQ205" s="127" t="s">
        <v>1031</v>
      </c>
      <c r="BR205" s="127" t="s">
        <v>1032</v>
      </c>
      <c r="BS205" s="127" t="s">
        <v>1033</v>
      </c>
      <c r="BT205" s="127" t="s">
        <v>188</v>
      </c>
      <c r="BU205" s="127" t="s">
        <v>189</v>
      </c>
      <c r="BV205" s="127" t="s">
        <v>229</v>
      </c>
      <c r="BW205" s="127" t="s">
        <v>191</v>
      </c>
      <c r="BX205" s="127" t="s">
        <v>189</v>
      </c>
      <c r="BY205" s="127" t="s">
        <v>189</v>
      </c>
      <c r="BZ205" s="127" t="s">
        <v>930</v>
      </c>
    </row>
    <row r="206" spans="2:78" s="121" customFormat="1" outlineLevel="2">
      <c r="B206" s="121" t="s">
        <v>859</v>
      </c>
      <c r="C206" s="107" t="s">
        <v>1027</v>
      </c>
      <c r="D206" s="107" t="s">
        <v>195</v>
      </c>
      <c r="F206" s="107" t="s">
        <v>178</v>
      </c>
      <c r="G206" s="107" t="s">
        <v>199</v>
      </c>
      <c r="H206" s="122" t="s">
        <v>1034</v>
      </c>
      <c r="I206" s="124"/>
      <c r="J206" s="124"/>
      <c r="K206" s="124" t="s">
        <v>1035</v>
      </c>
      <c r="L206" s="124" t="s">
        <v>863</v>
      </c>
      <c r="M206" s="125" t="s">
        <v>183</v>
      </c>
      <c r="N206" s="126">
        <f t="shared" si="22"/>
        <v>8400</v>
      </c>
      <c r="O206" s="127"/>
      <c r="P206" s="127"/>
      <c r="Q206" s="130">
        <v>1200</v>
      </c>
      <c r="R206" s="130">
        <v>1200</v>
      </c>
      <c r="S206" s="130">
        <v>1200</v>
      </c>
      <c r="T206" s="130">
        <v>1200</v>
      </c>
      <c r="U206" s="130">
        <v>0</v>
      </c>
      <c r="V206" s="130">
        <v>1200</v>
      </c>
      <c r="W206" s="130">
        <v>1200</v>
      </c>
      <c r="X206" s="127"/>
      <c r="Y206" s="127"/>
      <c r="Z206" s="127"/>
      <c r="AA206" s="130">
        <v>1200</v>
      </c>
      <c r="AB206" s="127">
        <v>0</v>
      </c>
      <c r="AC206" s="127"/>
      <c r="AD206" s="127"/>
      <c r="AE206" s="127"/>
      <c r="AF206" s="127"/>
      <c r="AG206" s="127">
        <v>0</v>
      </c>
      <c r="AH206" s="127"/>
      <c r="AI206" s="127"/>
      <c r="AJ206" s="127"/>
      <c r="AK206" s="127">
        <v>0</v>
      </c>
      <c r="AL206" s="127"/>
      <c r="AM206" s="127"/>
      <c r="AN206" s="127"/>
      <c r="AO206" s="127">
        <v>0</v>
      </c>
      <c r="AP206" s="127"/>
      <c r="AQ206" s="127"/>
      <c r="AR206" s="127"/>
      <c r="AS206" s="127"/>
      <c r="AT206" s="127">
        <v>0</v>
      </c>
      <c r="AU206" s="127"/>
      <c r="AV206" s="127"/>
      <c r="AW206" s="127"/>
      <c r="AX206" s="127">
        <v>0</v>
      </c>
      <c r="AY206" s="127"/>
      <c r="AZ206" s="127"/>
      <c r="BA206" s="127"/>
      <c r="BB206" s="127">
        <v>0</v>
      </c>
      <c r="BC206" s="127"/>
      <c r="BD206" s="127"/>
      <c r="BE206" s="127"/>
      <c r="BF206" s="127"/>
      <c r="BG206" s="127">
        <v>0</v>
      </c>
      <c r="BH206" s="127"/>
      <c r="BI206" s="127"/>
      <c r="BJ206" s="127"/>
      <c r="BK206" s="127">
        <v>0</v>
      </c>
      <c r="BL206" s="127"/>
      <c r="BM206" s="127"/>
      <c r="BN206" s="127"/>
      <c r="BO206" s="127"/>
      <c r="BP206" s="127" t="s">
        <v>1036</v>
      </c>
      <c r="BQ206" s="127" t="s">
        <v>300</v>
      </c>
      <c r="BR206" s="127" t="s">
        <v>189</v>
      </c>
      <c r="BS206" s="127" t="s">
        <v>189</v>
      </c>
      <c r="BT206" s="127" t="s">
        <v>188</v>
      </c>
      <c r="BU206" s="127" t="s">
        <v>189</v>
      </c>
      <c r="BV206" s="127" t="s">
        <v>205</v>
      </c>
      <c r="BW206" s="127" t="s">
        <v>191</v>
      </c>
      <c r="BX206" s="127" t="s">
        <v>189</v>
      </c>
      <c r="BY206" s="127" t="s">
        <v>189</v>
      </c>
      <c r="BZ206" s="131" t="s">
        <v>930</v>
      </c>
    </row>
    <row r="207" spans="2:78" s="121" customFormat="1" outlineLevel="2">
      <c r="B207" s="121" t="s">
        <v>859</v>
      </c>
      <c r="C207" s="107" t="s">
        <v>1027</v>
      </c>
      <c r="D207" s="107"/>
      <c r="F207" s="107" t="s">
        <v>89</v>
      </c>
      <c r="G207" s="107" t="s">
        <v>199</v>
      </c>
      <c r="H207" s="122" t="s">
        <v>1034</v>
      </c>
      <c r="I207" s="124"/>
      <c r="J207" s="124"/>
      <c r="K207" s="124" t="s">
        <v>1035</v>
      </c>
      <c r="L207" s="124" t="s">
        <v>863</v>
      </c>
      <c r="M207" s="125" t="s">
        <v>183</v>
      </c>
      <c r="N207" s="126">
        <f>SUM(O207:BO207)</f>
        <v>250</v>
      </c>
      <c r="O207" s="127"/>
      <c r="P207" s="127"/>
      <c r="Q207" s="127"/>
      <c r="R207" s="130">
        <v>250</v>
      </c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>
        <v>0</v>
      </c>
      <c r="AH207" s="127"/>
      <c r="AI207" s="127"/>
      <c r="AJ207" s="127"/>
      <c r="AK207" s="127">
        <v>0</v>
      </c>
      <c r="AL207" s="127"/>
      <c r="AM207" s="127"/>
      <c r="AN207" s="127"/>
      <c r="AO207" s="127">
        <v>0</v>
      </c>
      <c r="AP207" s="127"/>
      <c r="AQ207" s="127"/>
      <c r="AR207" s="127"/>
      <c r="AS207" s="127"/>
      <c r="AT207" s="127">
        <v>0</v>
      </c>
      <c r="AU207" s="127"/>
      <c r="AV207" s="127"/>
      <c r="AW207" s="127"/>
      <c r="AX207" s="127">
        <v>0</v>
      </c>
      <c r="AY207" s="127"/>
      <c r="AZ207" s="127"/>
      <c r="BA207" s="127"/>
      <c r="BB207" s="127">
        <v>0</v>
      </c>
      <c r="BC207" s="127"/>
      <c r="BD207" s="127"/>
      <c r="BE207" s="127"/>
      <c r="BF207" s="127"/>
      <c r="BG207" s="127">
        <v>0</v>
      </c>
      <c r="BH207" s="127"/>
      <c r="BI207" s="127"/>
      <c r="BJ207" s="127"/>
      <c r="BK207" s="127">
        <v>0</v>
      </c>
      <c r="BL207" s="127"/>
      <c r="BM207" s="127"/>
      <c r="BN207" s="127"/>
      <c r="BO207" s="127"/>
      <c r="BP207" s="127" t="s">
        <v>1036</v>
      </c>
      <c r="BQ207" s="127" t="s">
        <v>300</v>
      </c>
      <c r="BR207" s="127" t="s">
        <v>189</v>
      </c>
      <c r="BS207" s="127" t="s">
        <v>189</v>
      </c>
      <c r="BT207" s="127" t="s">
        <v>188</v>
      </c>
      <c r="BU207" s="127" t="s">
        <v>189</v>
      </c>
      <c r="BV207" s="127" t="s">
        <v>205</v>
      </c>
      <c r="BW207" s="127" t="s">
        <v>191</v>
      </c>
      <c r="BX207" s="127" t="s">
        <v>189</v>
      </c>
      <c r="BY207" s="127" t="s">
        <v>189</v>
      </c>
      <c r="BZ207" s="131" t="s">
        <v>930</v>
      </c>
    </row>
    <row r="208" spans="2:78" s="121" customFormat="1" outlineLevel="2">
      <c r="B208" s="121" t="s">
        <v>859</v>
      </c>
      <c r="C208" s="121" t="s">
        <v>1027</v>
      </c>
      <c r="D208" s="107" t="s">
        <v>195</v>
      </c>
      <c r="F208" s="107" t="s">
        <v>178</v>
      </c>
      <c r="H208" s="122" t="s">
        <v>1037</v>
      </c>
      <c r="I208" s="124"/>
      <c r="J208" s="124"/>
      <c r="K208" s="124" t="s">
        <v>1038</v>
      </c>
      <c r="L208" s="124" t="s">
        <v>863</v>
      </c>
      <c r="M208" s="125" t="s">
        <v>183</v>
      </c>
      <c r="N208" s="126">
        <f t="shared" si="22"/>
        <v>1000</v>
      </c>
      <c r="O208" s="127"/>
      <c r="P208" s="127"/>
      <c r="Q208" s="127"/>
      <c r="R208" s="127"/>
      <c r="S208" s="127"/>
      <c r="T208" s="127">
        <v>0</v>
      </c>
      <c r="U208" s="127"/>
      <c r="V208" s="127"/>
      <c r="W208" s="127"/>
      <c r="X208" s="127">
        <v>0</v>
      </c>
      <c r="Y208" s="127"/>
      <c r="Z208" s="127"/>
      <c r="AA208" s="127"/>
      <c r="AB208" s="127">
        <v>0</v>
      </c>
      <c r="AC208" s="127"/>
      <c r="AD208" s="127"/>
      <c r="AE208" s="127"/>
      <c r="AF208" s="127"/>
      <c r="AG208" s="127">
        <v>0</v>
      </c>
      <c r="AH208" s="127"/>
      <c r="AI208" s="127"/>
      <c r="AJ208" s="127"/>
      <c r="AK208" s="127">
        <v>0</v>
      </c>
      <c r="AL208" s="127"/>
      <c r="AM208" s="127"/>
      <c r="AN208" s="127"/>
      <c r="AO208" s="127">
        <v>0</v>
      </c>
      <c r="AP208" s="127"/>
      <c r="AQ208" s="127"/>
      <c r="AR208" s="127"/>
      <c r="AS208" s="127"/>
      <c r="AT208" s="127">
        <v>0</v>
      </c>
      <c r="AU208" s="127"/>
      <c r="AV208" s="127"/>
      <c r="AW208" s="127"/>
      <c r="AX208" s="127">
        <v>0</v>
      </c>
      <c r="AY208" s="127"/>
      <c r="AZ208" s="127"/>
      <c r="BA208" s="127"/>
      <c r="BB208" s="127">
        <v>1000</v>
      </c>
      <c r="BC208" s="127"/>
      <c r="BD208" s="127"/>
      <c r="BE208" s="127"/>
      <c r="BF208" s="127"/>
      <c r="BG208" s="127">
        <v>0</v>
      </c>
      <c r="BH208" s="127"/>
      <c r="BI208" s="127"/>
      <c r="BJ208" s="127"/>
      <c r="BK208" s="127">
        <v>0</v>
      </c>
      <c r="BL208" s="127"/>
      <c r="BM208" s="127"/>
      <c r="BN208" s="127"/>
      <c r="BO208" s="127"/>
      <c r="BP208" s="127" t="s">
        <v>1039</v>
      </c>
      <c r="BQ208" s="127" t="s">
        <v>300</v>
      </c>
      <c r="BR208" s="127" t="s">
        <v>1040</v>
      </c>
      <c r="BS208" s="127" t="s">
        <v>1041</v>
      </c>
      <c r="BT208" s="127" t="s">
        <v>188</v>
      </c>
      <c r="BU208" s="127" t="s">
        <v>189</v>
      </c>
      <c r="BV208" s="127" t="s">
        <v>229</v>
      </c>
      <c r="BW208" s="127" t="s">
        <v>343</v>
      </c>
      <c r="BX208" s="127" t="s">
        <v>189</v>
      </c>
      <c r="BY208" s="127" t="s">
        <v>189</v>
      </c>
      <c r="BZ208" s="131" t="s">
        <v>930</v>
      </c>
    </row>
    <row r="209" spans="2:78" s="121" customFormat="1" outlineLevel="2">
      <c r="B209" s="121" t="s">
        <v>1019</v>
      </c>
      <c r="C209" s="121" t="s">
        <v>1027</v>
      </c>
      <c r="D209" s="107" t="s">
        <v>195</v>
      </c>
      <c r="F209" s="107" t="s">
        <v>178</v>
      </c>
      <c r="G209" s="107" t="s">
        <v>388</v>
      </c>
      <c r="H209" s="122" t="s">
        <v>1042</v>
      </c>
      <c r="I209" s="124"/>
      <c r="J209" s="124"/>
      <c r="K209" s="124" t="s">
        <v>1043</v>
      </c>
      <c r="L209" s="124" t="s">
        <v>956</v>
      </c>
      <c r="M209" s="125" t="s">
        <v>183</v>
      </c>
      <c r="N209" s="126">
        <f t="shared" si="22"/>
        <v>0</v>
      </c>
      <c r="O209" s="127">
        <v>0</v>
      </c>
      <c r="P209" s="127"/>
      <c r="Q209" s="127"/>
      <c r="R209" s="127"/>
      <c r="S209" s="127"/>
      <c r="T209" s="127">
        <v>0</v>
      </c>
      <c r="U209" s="127"/>
      <c r="V209" s="127"/>
      <c r="W209" s="127"/>
      <c r="X209" s="127">
        <v>0</v>
      </c>
      <c r="Y209" s="127"/>
      <c r="Z209" s="127"/>
      <c r="AA209" s="127"/>
      <c r="AB209" s="127">
        <v>0</v>
      </c>
      <c r="AC209" s="127"/>
      <c r="AD209" s="127"/>
      <c r="AE209" s="127"/>
      <c r="AF209" s="127"/>
      <c r="AG209" s="127">
        <v>0</v>
      </c>
      <c r="AH209" s="127"/>
      <c r="AI209" s="127"/>
      <c r="AJ209" s="127"/>
      <c r="AK209" s="127">
        <v>0</v>
      </c>
      <c r="AL209" s="127"/>
      <c r="AM209" s="127"/>
      <c r="AN209" s="127"/>
      <c r="AO209" s="127">
        <v>0</v>
      </c>
      <c r="AP209" s="127"/>
      <c r="AQ209" s="127"/>
      <c r="AR209" s="127"/>
      <c r="AS209" s="127"/>
      <c r="AT209" s="127">
        <v>0</v>
      </c>
      <c r="AU209" s="127"/>
      <c r="AV209" s="127"/>
      <c r="AW209" s="127"/>
      <c r="AX209" s="127">
        <v>0</v>
      </c>
      <c r="AY209" s="127"/>
      <c r="AZ209" s="127"/>
      <c r="BA209" s="127"/>
      <c r="BB209" s="127">
        <v>0</v>
      </c>
      <c r="BC209" s="127"/>
      <c r="BD209" s="127"/>
      <c r="BE209" s="127"/>
      <c r="BF209" s="127"/>
      <c r="BG209" s="127">
        <v>0</v>
      </c>
      <c r="BH209" s="127"/>
      <c r="BI209" s="127"/>
      <c r="BJ209" s="127"/>
      <c r="BK209" s="127">
        <v>0</v>
      </c>
      <c r="BL209" s="127"/>
      <c r="BM209" s="127"/>
      <c r="BN209" s="127"/>
      <c r="BO209" s="127"/>
      <c r="BP209" s="127" t="s">
        <v>1044</v>
      </c>
      <c r="BQ209" s="127" t="s">
        <v>1045</v>
      </c>
      <c r="BR209" s="127" t="s">
        <v>1046</v>
      </c>
      <c r="BS209" s="127" t="s">
        <v>1047</v>
      </c>
      <c r="BT209" s="127" t="s">
        <v>188</v>
      </c>
      <c r="BU209" s="127" t="s">
        <v>189</v>
      </c>
      <c r="BV209" s="127" t="s">
        <v>229</v>
      </c>
      <c r="BW209" s="127" t="s">
        <v>191</v>
      </c>
      <c r="BX209" s="127" t="s">
        <v>396</v>
      </c>
      <c r="BY209" s="127" t="s">
        <v>189</v>
      </c>
      <c r="BZ209" s="128" t="s">
        <v>962</v>
      </c>
    </row>
    <row r="210" spans="2:78" s="121" customFormat="1" outlineLevel="2">
      <c r="B210" s="121" t="s">
        <v>859</v>
      </c>
      <c r="C210" s="121" t="s">
        <v>1027</v>
      </c>
      <c r="D210" s="107" t="s">
        <v>195</v>
      </c>
      <c r="F210" s="107" t="s">
        <v>178</v>
      </c>
      <c r="H210" s="122" t="s">
        <v>1048</v>
      </c>
      <c r="I210" s="124" t="s">
        <v>436</v>
      </c>
      <c r="J210" s="124"/>
      <c r="K210" s="124" t="s">
        <v>1049</v>
      </c>
      <c r="L210" s="124" t="s">
        <v>863</v>
      </c>
      <c r="M210" s="125" t="s">
        <v>183</v>
      </c>
      <c r="N210" s="126">
        <f t="shared" si="22"/>
        <v>11000</v>
      </c>
      <c r="O210" s="127">
        <v>0</v>
      </c>
      <c r="P210" s="127"/>
      <c r="Q210" s="127"/>
      <c r="R210" s="127"/>
      <c r="S210" s="127"/>
      <c r="T210" s="127">
        <v>0</v>
      </c>
      <c r="U210" s="127"/>
      <c r="V210" s="127"/>
      <c r="W210" s="127"/>
      <c r="X210" s="127">
        <v>0</v>
      </c>
      <c r="Y210" s="127"/>
      <c r="Z210" s="127"/>
      <c r="AA210" s="127"/>
      <c r="AB210" s="127">
        <v>0</v>
      </c>
      <c r="AC210" s="127"/>
      <c r="AD210" s="127"/>
      <c r="AE210" s="127"/>
      <c r="AF210" s="127"/>
      <c r="AG210" s="127">
        <v>0</v>
      </c>
      <c r="AH210" s="127"/>
      <c r="AI210" s="127"/>
      <c r="AJ210" s="127"/>
      <c r="AK210" s="127">
        <v>0</v>
      </c>
      <c r="AL210" s="127"/>
      <c r="AM210" s="127"/>
      <c r="AN210" s="127"/>
      <c r="AO210" s="127"/>
      <c r="AP210" s="127"/>
      <c r="AQ210" s="127"/>
      <c r="AR210" s="127"/>
      <c r="AS210" s="127"/>
      <c r="AT210" s="127">
        <v>0</v>
      </c>
      <c r="AU210" s="127"/>
      <c r="AV210" s="127"/>
      <c r="AW210" s="127">
        <v>1100</v>
      </c>
      <c r="AX210" s="127">
        <v>0</v>
      </c>
      <c r="AY210" s="127">
        <v>1100</v>
      </c>
      <c r="AZ210" s="127"/>
      <c r="BA210" s="127">
        <v>1100</v>
      </c>
      <c r="BB210" s="127">
        <v>1100</v>
      </c>
      <c r="BC210" s="127">
        <v>1100</v>
      </c>
      <c r="BD210" s="127">
        <v>1100</v>
      </c>
      <c r="BE210" s="127">
        <v>1100</v>
      </c>
      <c r="BF210" s="127"/>
      <c r="BG210" s="127">
        <v>1100</v>
      </c>
      <c r="BH210" s="127"/>
      <c r="BI210" s="127">
        <v>1100</v>
      </c>
      <c r="BJ210" s="127">
        <v>1100</v>
      </c>
      <c r="BK210" s="127">
        <v>0</v>
      </c>
      <c r="BL210" s="127"/>
      <c r="BM210" s="127"/>
      <c r="BN210" s="127"/>
      <c r="BO210" s="127"/>
      <c r="BP210" s="127" t="s">
        <v>1050</v>
      </c>
      <c r="BQ210" s="127" t="s">
        <v>1051</v>
      </c>
      <c r="BR210" s="127" t="s">
        <v>1052</v>
      </c>
      <c r="BS210" s="127" t="s">
        <v>1053</v>
      </c>
      <c r="BT210" s="127" t="s">
        <v>188</v>
      </c>
      <c r="BU210" s="127" t="s">
        <v>1012</v>
      </c>
      <c r="BV210" s="127" t="s">
        <v>205</v>
      </c>
      <c r="BW210" s="127" t="s">
        <v>191</v>
      </c>
      <c r="BX210" s="127" t="s">
        <v>320</v>
      </c>
      <c r="BY210" s="127" t="s">
        <v>1054</v>
      </c>
      <c r="BZ210" s="131" t="s">
        <v>930</v>
      </c>
    </row>
    <row r="211" spans="2:78" s="121" customFormat="1" outlineLevel="2">
      <c r="B211" s="121" t="s">
        <v>859</v>
      </c>
      <c r="C211" s="121" t="s">
        <v>1027</v>
      </c>
      <c r="D211" s="107" t="s">
        <v>195</v>
      </c>
      <c r="F211" s="107" t="s">
        <v>178</v>
      </c>
      <c r="G211" s="107" t="s">
        <v>199</v>
      </c>
      <c r="H211" s="122" t="s">
        <v>1055</v>
      </c>
      <c r="I211" s="124"/>
      <c r="J211" s="124"/>
      <c r="K211" s="124" t="s">
        <v>1056</v>
      </c>
      <c r="L211" s="124" t="s">
        <v>956</v>
      </c>
      <c r="M211" s="125" t="s">
        <v>183</v>
      </c>
      <c r="N211" s="126">
        <f t="shared" si="22"/>
        <v>4000</v>
      </c>
      <c r="O211" s="130">
        <v>1000</v>
      </c>
      <c r="P211" s="127"/>
      <c r="Q211" s="127"/>
      <c r="R211" s="130">
        <v>1000</v>
      </c>
      <c r="S211" s="127"/>
      <c r="T211" s="130">
        <v>1000</v>
      </c>
      <c r="U211" s="127"/>
      <c r="V211" s="130">
        <v>1000</v>
      </c>
      <c r="W211" s="127"/>
      <c r="X211" s="127">
        <v>0</v>
      </c>
      <c r="Y211" s="127"/>
      <c r="Z211" s="127"/>
      <c r="AA211" s="127"/>
      <c r="AB211" s="127">
        <v>0</v>
      </c>
      <c r="AC211" s="127"/>
      <c r="AD211" s="127"/>
      <c r="AE211" s="127"/>
      <c r="AF211" s="127"/>
      <c r="AG211" s="127">
        <v>0</v>
      </c>
      <c r="AH211" s="127"/>
      <c r="AI211" s="127"/>
      <c r="AJ211" s="127"/>
      <c r="AK211" s="127">
        <v>0</v>
      </c>
      <c r="AL211" s="127"/>
      <c r="AM211" s="127"/>
      <c r="AN211" s="127"/>
      <c r="AO211" s="127">
        <v>0</v>
      </c>
      <c r="AP211" s="127"/>
      <c r="AQ211" s="127"/>
      <c r="AR211" s="127"/>
      <c r="AS211" s="127"/>
      <c r="AT211" s="127">
        <v>0</v>
      </c>
      <c r="AU211" s="127"/>
      <c r="AV211" s="127"/>
      <c r="AW211" s="127"/>
      <c r="AX211" s="127">
        <v>0</v>
      </c>
      <c r="AY211" s="127"/>
      <c r="AZ211" s="127"/>
      <c r="BA211" s="127"/>
      <c r="BB211" s="127">
        <v>0</v>
      </c>
      <c r="BC211" s="127"/>
      <c r="BD211" s="127"/>
      <c r="BE211" s="127"/>
      <c r="BF211" s="127"/>
      <c r="BG211" s="127">
        <v>0</v>
      </c>
      <c r="BH211" s="127"/>
      <c r="BI211" s="127"/>
      <c r="BJ211" s="127"/>
      <c r="BK211" s="127">
        <v>0</v>
      </c>
      <c r="BL211" s="127"/>
      <c r="BM211" s="127"/>
      <c r="BN211" s="127"/>
      <c r="BO211" s="127"/>
      <c r="BP211" s="127" t="s">
        <v>1057</v>
      </c>
      <c r="BQ211" s="127" t="s">
        <v>975</v>
      </c>
      <c r="BR211" s="127" t="s">
        <v>1058</v>
      </c>
      <c r="BS211" s="127" t="s">
        <v>1059</v>
      </c>
      <c r="BT211" s="127" t="s">
        <v>188</v>
      </c>
      <c r="BU211" s="127" t="s">
        <v>189</v>
      </c>
      <c r="BV211" s="127" t="s">
        <v>205</v>
      </c>
      <c r="BW211" s="127" t="s">
        <v>191</v>
      </c>
      <c r="BX211" s="127" t="s">
        <v>240</v>
      </c>
      <c r="BY211" s="127" t="s">
        <v>670</v>
      </c>
      <c r="BZ211" s="127" t="s">
        <v>990</v>
      </c>
    </row>
    <row r="212" spans="2:78" s="121" customFormat="1" outlineLevel="2">
      <c r="B212" s="121" t="s">
        <v>859</v>
      </c>
      <c r="C212" s="121" t="s">
        <v>1027</v>
      </c>
      <c r="D212" s="107" t="s">
        <v>195</v>
      </c>
      <c r="E212" s="148" t="s">
        <v>1060</v>
      </c>
      <c r="F212" s="107" t="s">
        <v>178</v>
      </c>
      <c r="G212" s="107" t="s">
        <v>199</v>
      </c>
      <c r="H212" s="122" t="s">
        <v>1061</v>
      </c>
      <c r="I212" s="124"/>
      <c r="J212" s="124"/>
      <c r="K212" s="124" t="s">
        <v>1062</v>
      </c>
      <c r="L212" s="124" t="s">
        <v>863</v>
      </c>
      <c r="M212" s="125" t="s">
        <v>183</v>
      </c>
      <c r="N212" s="126">
        <f t="shared" si="22"/>
        <v>2200</v>
      </c>
      <c r="O212" s="127"/>
      <c r="P212" s="127"/>
      <c r="Q212" s="127"/>
      <c r="R212" s="127"/>
      <c r="S212" s="127"/>
      <c r="T212" s="127"/>
      <c r="U212" s="130">
        <v>1100</v>
      </c>
      <c r="V212" s="130">
        <v>1100</v>
      </c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7"/>
      <c r="BP212" s="127"/>
      <c r="BQ212" s="127"/>
      <c r="BR212" s="127"/>
      <c r="BS212" s="127"/>
      <c r="BT212" s="127"/>
      <c r="BU212" s="127"/>
      <c r="BV212" s="127"/>
      <c r="BW212" s="127"/>
      <c r="BX212" s="127"/>
      <c r="BY212" s="127"/>
      <c r="BZ212" s="127"/>
    </row>
    <row r="213" spans="2:78" s="121" customFormat="1" outlineLevel="2">
      <c r="B213" s="121" t="s">
        <v>859</v>
      </c>
      <c r="C213" s="121" t="s">
        <v>1027</v>
      </c>
      <c r="D213" s="107"/>
      <c r="E213" s="107"/>
      <c r="F213" s="107" t="s">
        <v>89</v>
      </c>
      <c r="G213" s="107"/>
      <c r="H213" s="122" t="s">
        <v>1061</v>
      </c>
      <c r="I213" s="124"/>
      <c r="J213" s="124"/>
      <c r="K213" s="124" t="s">
        <v>1062</v>
      </c>
      <c r="L213" s="124" t="s">
        <v>863</v>
      </c>
      <c r="M213" s="125" t="s">
        <v>183</v>
      </c>
      <c r="N213" s="126">
        <f t="shared" si="22"/>
        <v>1100</v>
      </c>
      <c r="O213" s="127"/>
      <c r="P213" s="127"/>
      <c r="Q213" s="127"/>
      <c r="R213" s="127"/>
      <c r="S213" s="127"/>
      <c r="T213" s="127"/>
      <c r="U213" s="127">
        <v>1100</v>
      </c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/>
      <c r="BI213" s="127"/>
      <c r="BJ213" s="127"/>
      <c r="BK213" s="127"/>
      <c r="BL213" s="127"/>
      <c r="BM213" s="127"/>
      <c r="BN213" s="127"/>
      <c r="BO213" s="127"/>
      <c r="BP213" s="127"/>
      <c r="BQ213" s="127"/>
      <c r="BR213" s="127"/>
      <c r="BS213" s="127"/>
      <c r="BT213" s="127"/>
      <c r="BU213" s="127"/>
      <c r="BV213" s="127"/>
      <c r="BW213" s="127"/>
      <c r="BX213" s="127"/>
      <c r="BY213" s="127"/>
      <c r="BZ213" s="127"/>
    </row>
    <row r="214" spans="2:78" s="121" customFormat="1" outlineLevel="2">
      <c r="B214" s="121" t="s">
        <v>859</v>
      </c>
      <c r="C214" s="121" t="s">
        <v>1027</v>
      </c>
      <c r="D214" s="107" t="s">
        <v>177</v>
      </c>
      <c r="F214" s="107" t="s">
        <v>88</v>
      </c>
      <c r="G214" s="107"/>
      <c r="H214" s="122" t="s">
        <v>940</v>
      </c>
      <c r="I214" s="123" t="s">
        <v>631</v>
      </c>
      <c r="J214" s="124"/>
      <c r="K214" s="124" t="s">
        <v>941</v>
      </c>
      <c r="L214" s="124" t="s">
        <v>863</v>
      </c>
      <c r="M214" s="125" t="s">
        <v>183</v>
      </c>
      <c r="N214" s="126">
        <f>SUM(O214:BO214)</f>
        <v>8000</v>
      </c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>
        <v>1000</v>
      </c>
      <c r="AC214" s="127">
        <v>2000</v>
      </c>
      <c r="AD214" s="127">
        <v>2000</v>
      </c>
      <c r="AE214" s="127">
        <v>2000</v>
      </c>
      <c r="AF214" s="127">
        <v>1000</v>
      </c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  <c r="BG214" s="127"/>
      <c r="BH214" s="127"/>
      <c r="BI214" s="127"/>
      <c r="BJ214" s="127"/>
      <c r="BK214" s="127"/>
      <c r="BL214" s="127"/>
      <c r="BM214" s="127"/>
      <c r="BN214" s="127"/>
      <c r="BO214" s="127"/>
      <c r="BP214" s="146" t="s">
        <v>942</v>
      </c>
      <c r="BQ214" s="146" t="s">
        <v>943</v>
      </c>
      <c r="BR214" s="146" t="s">
        <v>944</v>
      </c>
      <c r="BS214" s="146" t="s">
        <v>945</v>
      </c>
      <c r="BT214" s="146" t="s">
        <v>188</v>
      </c>
      <c r="BU214" s="146" t="s">
        <v>189</v>
      </c>
      <c r="BV214" s="146" t="s">
        <v>190</v>
      </c>
      <c r="BW214" s="146" t="s">
        <v>191</v>
      </c>
      <c r="BX214" s="146" t="s">
        <v>946</v>
      </c>
      <c r="BY214" s="146" t="s">
        <v>947</v>
      </c>
      <c r="BZ214" s="146" t="s">
        <v>948</v>
      </c>
    </row>
    <row r="215" spans="2:78" s="121" customFormat="1" outlineLevel="2">
      <c r="B215" s="121" t="s">
        <v>859</v>
      </c>
      <c r="C215" s="121" t="s">
        <v>1027</v>
      </c>
      <c r="D215" s="107" t="s">
        <v>195</v>
      </c>
      <c r="F215" s="107" t="s">
        <v>88</v>
      </c>
      <c r="G215" s="107"/>
      <c r="H215" s="122" t="s">
        <v>940</v>
      </c>
      <c r="I215" s="123" t="s">
        <v>631</v>
      </c>
      <c r="J215" s="124"/>
      <c r="K215" s="124" t="s">
        <v>941</v>
      </c>
      <c r="L215" s="124" t="s">
        <v>863</v>
      </c>
      <c r="M215" s="125" t="s">
        <v>183</v>
      </c>
      <c r="N215" s="126">
        <f>SUM(O215:BO215)</f>
        <v>7200</v>
      </c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>
        <v>1200</v>
      </c>
      <c r="AL215" s="127">
        <v>1200</v>
      </c>
      <c r="AM215" s="127">
        <v>1200</v>
      </c>
      <c r="AN215" s="127">
        <v>1200</v>
      </c>
      <c r="AO215" s="127">
        <v>1200</v>
      </c>
      <c r="AP215" s="127">
        <v>1200</v>
      </c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/>
      <c r="BM215" s="127"/>
      <c r="BN215" s="127"/>
      <c r="BO215" s="127"/>
      <c r="BP215" s="146" t="s">
        <v>942</v>
      </c>
      <c r="BQ215" s="146" t="s">
        <v>943</v>
      </c>
      <c r="BR215" s="146" t="s">
        <v>944</v>
      </c>
      <c r="BS215" s="146" t="s">
        <v>945</v>
      </c>
      <c r="BT215" s="146" t="s">
        <v>188</v>
      </c>
      <c r="BU215" s="146" t="s">
        <v>189</v>
      </c>
      <c r="BV215" s="146" t="s">
        <v>190</v>
      </c>
      <c r="BW215" s="146" t="s">
        <v>191</v>
      </c>
      <c r="BX215" s="146" t="s">
        <v>946</v>
      </c>
      <c r="BY215" s="146" t="s">
        <v>947</v>
      </c>
      <c r="BZ215" s="146" t="s">
        <v>948</v>
      </c>
    </row>
    <row r="216" spans="2:78" s="121" customFormat="1" outlineLevel="2">
      <c r="B216" s="121" t="s">
        <v>859</v>
      </c>
      <c r="C216" s="121" t="s">
        <v>1027</v>
      </c>
      <c r="D216" s="107" t="s">
        <v>177</v>
      </c>
      <c r="F216" s="107" t="s">
        <v>178</v>
      </c>
      <c r="H216" s="147" t="s">
        <v>1063</v>
      </c>
      <c r="I216" s="124"/>
      <c r="J216" s="124"/>
      <c r="K216" s="124"/>
      <c r="L216" s="124"/>
      <c r="M216" s="125" t="s">
        <v>183</v>
      </c>
      <c r="N216" s="126">
        <v>25000</v>
      </c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/>
      <c r="BH216" s="127"/>
      <c r="BI216" s="127"/>
      <c r="BJ216" s="127"/>
      <c r="BK216" s="127"/>
      <c r="BL216" s="127"/>
      <c r="BM216" s="127"/>
      <c r="BN216" s="127"/>
      <c r="BO216" s="127"/>
      <c r="BP216" s="127"/>
      <c r="BQ216" s="127"/>
      <c r="BR216" s="127"/>
      <c r="BS216" s="127"/>
      <c r="BT216" s="127"/>
      <c r="BU216" s="127"/>
      <c r="BV216" s="127"/>
      <c r="BW216" s="127"/>
      <c r="BX216" s="127"/>
      <c r="BY216" s="127"/>
      <c r="BZ216" s="127"/>
    </row>
    <row r="217" spans="2:78" s="139" customFormat="1" outlineLevel="1">
      <c r="C217" s="140" t="s">
        <v>1064</v>
      </c>
      <c r="H217" s="141"/>
      <c r="I217" s="141"/>
      <c r="J217" s="141"/>
      <c r="K217" s="141"/>
      <c r="L217" s="141"/>
      <c r="M217" s="142"/>
      <c r="N217" s="143">
        <f t="shared" ref="N217:BO217" si="23">SUBTOTAL(9,N205:N216)</f>
        <v>68150</v>
      </c>
      <c r="O217" s="144">
        <f t="shared" si="23"/>
        <v>1000</v>
      </c>
      <c r="P217" s="144">
        <f t="shared" si="23"/>
        <v>0</v>
      </c>
      <c r="Q217" s="144">
        <f t="shared" si="23"/>
        <v>1200</v>
      </c>
      <c r="R217" s="144">
        <f t="shared" si="23"/>
        <v>2450</v>
      </c>
      <c r="S217" s="144">
        <f t="shared" si="23"/>
        <v>1200</v>
      </c>
      <c r="T217" s="144">
        <f t="shared" si="23"/>
        <v>2200</v>
      </c>
      <c r="U217" s="144">
        <f t="shared" si="23"/>
        <v>2200</v>
      </c>
      <c r="V217" s="144">
        <f t="shared" si="23"/>
        <v>3300</v>
      </c>
      <c r="W217" s="144">
        <f t="shared" si="23"/>
        <v>1200</v>
      </c>
      <c r="X217" s="144">
        <f t="shared" si="23"/>
        <v>0</v>
      </c>
      <c r="Y217" s="144">
        <f t="shared" si="23"/>
        <v>0</v>
      </c>
      <c r="Z217" s="144">
        <f t="shared" si="23"/>
        <v>0</v>
      </c>
      <c r="AA217" s="144">
        <f t="shared" si="23"/>
        <v>1200</v>
      </c>
      <c r="AB217" s="144">
        <f t="shared" si="23"/>
        <v>1000</v>
      </c>
      <c r="AC217" s="144">
        <f t="shared" si="23"/>
        <v>2000</v>
      </c>
      <c r="AD217" s="144">
        <f t="shared" si="23"/>
        <v>2000</v>
      </c>
      <c r="AE217" s="144">
        <f t="shared" si="23"/>
        <v>2000</v>
      </c>
      <c r="AF217" s="144">
        <f t="shared" si="23"/>
        <v>1000</v>
      </c>
      <c r="AG217" s="144">
        <f t="shared" si="23"/>
        <v>0</v>
      </c>
      <c r="AH217" s="144">
        <f t="shared" si="23"/>
        <v>0</v>
      </c>
      <c r="AI217" s="144">
        <f t="shared" si="23"/>
        <v>0</v>
      </c>
      <c r="AJ217" s="144">
        <f t="shared" si="23"/>
        <v>0</v>
      </c>
      <c r="AK217" s="144">
        <f t="shared" si="23"/>
        <v>1200</v>
      </c>
      <c r="AL217" s="144">
        <f t="shared" si="23"/>
        <v>1200</v>
      </c>
      <c r="AM217" s="144">
        <f t="shared" si="23"/>
        <v>1200</v>
      </c>
      <c r="AN217" s="144">
        <f t="shared" si="23"/>
        <v>1200</v>
      </c>
      <c r="AO217" s="144">
        <f t="shared" si="23"/>
        <v>1200</v>
      </c>
      <c r="AP217" s="144">
        <f t="shared" si="23"/>
        <v>1200</v>
      </c>
      <c r="AQ217" s="144">
        <f t="shared" si="23"/>
        <v>0</v>
      </c>
      <c r="AR217" s="144">
        <f t="shared" si="23"/>
        <v>0</v>
      </c>
      <c r="AS217" s="144">
        <f t="shared" si="23"/>
        <v>0</v>
      </c>
      <c r="AT217" s="144">
        <f t="shared" si="23"/>
        <v>0</v>
      </c>
      <c r="AU217" s="144">
        <f t="shared" si="23"/>
        <v>0</v>
      </c>
      <c r="AV217" s="144">
        <f t="shared" si="23"/>
        <v>0</v>
      </c>
      <c r="AW217" s="144">
        <f t="shared" si="23"/>
        <v>1100</v>
      </c>
      <c r="AX217" s="144">
        <f t="shared" si="23"/>
        <v>0</v>
      </c>
      <c r="AY217" s="144">
        <f t="shared" si="23"/>
        <v>1100</v>
      </c>
      <c r="AZ217" s="144">
        <f t="shared" si="23"/>
        <v>0</v>
      </c>
      <c r="BA217" s="144">
        <f t="shared" si="23"/>
        <v>1100</v>
      </c>
      <c r="BB217" s="144">
        <f t="shared" si="23"/>
        <v>2100</v>
      </c>
      <c r="BC217" s="144">
        <f t="shared" si="23"/>
        <v>1100</v>
      </c>
      <c r="BD217" s="144">
        <f t="shared" si="23"/>
        <v>1100</v>
      </c>
      <c r="BE217" s="144">
        <f t="shared" si="23"/>
        <v>1100</v>
      </c>
      <c r="BF217" s="144">
        <f t="shared" si="23"/>
        <v>0</v>
      </c>
      <c r="BG217" s="144">
        <f t="shared" si="23"/>
        <v>1100</v>
      </c>
      <c r="BH217" s="144">
        <f t="shared" si="23"/>
        <v>0</v>
      </c>
      <c r="BI217" s="144">
        <f t="shared" si="23"/>
        <v>1100</v>
      </c>
      <c r="BJ217" s="144">
        <f t="shared" si="23"/>
        <v>1100</v>
      </c>
      <c r="BK217" s="144">
        <f t="shared" si="23"/>
        <v>0</v>
      </c>
      <c r="BL217" s="144">
        <f t="shared" si="23"/>
        <v>0</v>
      </c>
      <c r="BM217" s="144">
        <f t="shared" si="23"/>
        <v>0</v>
      </c>
      <c r="BN217" s="144">
        <f t="shared" si="23"/>
        <v>0</v>
      </c>
      <c r="BO217" s="144">
        <f t="shared" si="23"/>
        <v>0</v>
      </c>
      <c r="BP217" s="144"/>
      <c r="BQ217" s="144"/>
      <c r="BR217" s="144"/>
      <c r="BS217" s="144"/>
      <c r="BT217" s="144"/>
      <c r="BU217" s="144"/>
      <c r="BV217" s="144"/>
      <c r="BW217" s="144"/>
      <c r="BX217" s="144"/>
      <c r="BY217" s="144"/>
      <c r="BZ217" s="144">
        <f>SUBTOTAL(9,BZ205:BZ208)</f>
        <v>0</v>
      </c>
    </row>
    <row r="218" spans="2:78" s="121" customFormat="1" outlineLevel="2">
      <c r="B218" s="121" t="s">
        <v>859</v>
      </c>
      <c r="C218" s="107" t="s">
        <v>1065</v>
      </c>
      <c r="D218" s="121" t="s">
        <v>195</v>
      </c>
      <c r="F218" s="107" t="s">
        <v>178</v>
      </c>
      <c r="G218" s="107" t="s">
        <v>199</v>
      </c>
      <c r="H218" s="122" t="s">
        <v>1066</v>
      </c>
      <c r="I218" s="124"/>
      <c r="J218" s="124"/>
      <c r="K218" s="124" t="s">
        <v>1067</v>
      </c>
      <c r="L218" s="124" t="s">
        <v>890</v>
      </c>
      <c r="M218" s="125" t="s">
        <v>183</v>
      </c>
      <c r="N218" s="126">
        <f t="shared" ref="N218:N233" si="24">SUM(O218:BO218)</f>
        <v>1200</v>
      </c>
      <c r="O218" s="127">
        <v>0</v>
      </c>
      <c r="P218" s="127"/>
      <c r="Q218" s="127"/>
      <c r="R218" s="127"/>
      <c r="S218" s="127"/>
      <c r="T218" s="127">
        <v>0</v>
      </c>
      <c r="U218" s="127"/>
      <c r="V218" s="127"/>
      <c r="W218" s="127"/>
      <c r="X218" s="127"/>
      <c r="Y218" s="127"/>
      <c r="Z218" s="127"/>
      <c r="AA218" s="130">
        <v>1200</v>
      </c>
      <c r="AB218" s="127">
        <v>0</v>
      </c>
      <c r="AC218" s="127"/>
      <c r="AD218" s="127"/>
      <c r="AE218" s="127"/>
      <c r="AF218" s="127"/>
      <c r="AG218" s="127">
        <v>0</v>
      </c>
      <c r="AH218" s="127"/>
      <c r="AI218" s="127"/>
      <c r="AJ218" s="127"/>
      <c r="AK218" s="127">
        <v>0</v>
      </c>
      <c r="AL218" s="127"/>
      <c r="AM218" s="127"/>
      <c r="AN218" s="127"/>
      <c r="AO218" s="127">
        <v>0</v>
      </c>
      <c r="AP218" s="127"/>
      <c r="AQ218" s="127"/>
      <c r="AR218" s="127"/>
      <c r="AS218" s="127"/>
      <c r="AT218" s="127">
        <v>0</v>
      </c>
      <c r="AU218" s="127"/>
      <c r="AV218" s="127"/>
      <c r="AW218" s="127"/>
      <c r="AX218" s="127">
        <v>0</v>
      </c>
      <c r="AY218" s="127"/>
      <c r="AZ218" s="127"/>
      <c r="BA218" s="127"/>
      <c r="BB218" s="127">
        <v>0</v>
      </c>
      <c r="BC218" s="127"/>
      <c r="BD218" s="127"/>
      <c r="BE218" s="127"/>
      <c r="BF218" s="127"/>
      <c r="BG218" s="127">
        <v>0</v>
      </c>
      <c r="BH218" s="127"/>
      <c r="BI218" s="127"/>
      <c r="BJ218" s="127"/>
      <c r="BK218" s="127">
        <v>0</v>
      </c>
      <c r="BL218" s="127"/>
      <c r="BM218" s="127"/>
      <c r="BN218" s="127"/>
      <c r="BO218" s="127"/>
      <c r="BP218" s="127" t="s">
        <v>1068</v>
      </c>
      <c r="BQ218" s="127" t="s">
        <v>1069</v>
      </c>
      <c r="BR218" s="127" t="s">
        <v>1070</v>
      </c>
      <c r="BS218" s="127" t="s">
        <v>1071</v>
      </c>
      <c r="BT218" s="127" t="s">
        <v>188</v>
      </c>
      <c r="BU218" s="127" t="s">
        <v>189</v>
      </c>
      <c r="BV218" s="127" t="s">
        <v>395</v>
      </c>
      <c r="BW218" s="127" t="s">
        <v>191</v>
      </c>
      <c r="BX218" s="127" t="s">
        <v>702</v>
      </c>
      <c r="BY218" s="127" t="s">
        <v>1072</v>
      </c>
      <c r="BZ218" s="128" t="s">
        <v>1073</v>
      </c>
    </row>
    <row r="219" spans="2:78" s="121" customFormat="1" outlineLevel="2">
      <c r="B219" s="121" t="s">
        <v>859</v>
      </c>
      <c r="C219" s="107" t="s">
        <v>1065</v>
      </c>
      <c r="D219" s="107" t="s">
        <v>195</v>
      </c>
      <c r="F219" s="107" t="s">
        <v>178</v>
      </c>
      <c r="H219" s="122" t="s">
        <v>1074</v>
      </c>
      <c r="I219" s="124"/>
      <c r="J219" s="124"/>
      <c r="K219" s="124" t="s">
        <v>1075</v>
      </c>
      <c r="L219" s="124" t="s">
        <v>890</v>
      </c>
      <c r="M219" s="125" t="s">
        <v>183</v>
      </c>
      <c r="N219" s="126">
        <f t="shared" si="24"/>
        <v>2700</v>
      </c>
      <c r="O219" s="127"/>
      <c r="P219" s="127"/>
      <c r="Q219" s="127"/>
      <c r="R219" s="127"/>
      <c r="S219" s="127"/>
      <c r="T219" s="127">
        <v>0</v>
      </c>
      <c r="U219" s="127"/>
      <c r="V219" s="127"/>
      <c r="W219" s="127"/>
      <c r="X219" s="127">
        <v>0</v>
      </c>
      <c r="Y219" s="127"/>
      <c r="Z219" s="127"/>
      <c r="AA219" s="127"/>
      <c r="AB219" s="127">
        <v>0</v>
      </c>
      <c r="AC219" s="127"/>
      <c r="AD219" s="127"/>
      <c r="AE219" s="127"/>
      <c r="AF219" s="127"/>
      <c r="AG219" s="127">
        <v>0</v>
      </c>
      <c r="AH219" s="127"/>
      <c r="AI219" s="127"/>
      <c r="AJ219" s="127"/>
      <c r="AK219" s="127">
        <v>0</v>
      </c>
      <c r="AL219" s="127"/>
      <c r="AM219" s="127"/>
      <c r="AN219" s="127"/>
      <c r="AO219" s="127">
        <v>0</v>
      </c>
      <c r="AP219" s="127"/>
      <c r="AQ219" s="127"/>
      <c r="AR219" s="127"/>
      <c r="AS219" s="127"/>
      <c r="AT219" s="127">
        <v>2700</v>
      </c>
      <c r="AU219" s="127"/>
      <c r="AV219" s="127"/>
      <c r="AW219" s="127"/>
      <c r="AX219" s="127">
        <v>0</v>
      </c>
      <c r="AY219" s="127"/>
      <c r="AZ219" s="127"/>
      <c r="BA219" s="127"/>
      <c r="BB219" s="127">
        <v>0</v>
      </c>
      <c r="BC219" s="127"/>
      <c r="BD219" s="127"/>
      <c r="BE219" s="127"/>
      <c r="BF219" s="127"/>
      <c r="BG219" s="127">
        <v>0</v>
      </c>
      <c r="BH219" s="127"/>
      <c r="BI219" s="127"/>
      <c r="BJ219" s="127"/>
      <c r="BK219" s="127">
        <v>0</v>
      </c>
      <c r="BL219" s="127"/>
      <c r="BM219" s="127"/>
      <c r="BN219" s="127"/>
      <c r="BO219" s="127"/>
      <c r="BP219" s="127" t="s">
        <v>1076</v>
      </c>
      <c r="BQ219" s="127" t="s">
        <v>1077</v>
      </c>
      <c r="BR219" s="127" t="s">
        <v>1078</v>
      </c>
      <c r="BS219" s="127" t="s">
        <v>1079</v>
      </c>
      <c r="BT219" s="127" t="s">
        <v>188</v>
      </c>
      <c r="BU219" s="127" t="s">
        <v>189</v>
      </c>
      <c r="BV219" s="127" t="s">
        <v>229</v>
      </c>
      <c r="BW219" s="127" t="s">
        <v>343</v>
      </c>
      <c r="BX219" s="127" t="s">
        <v>1080</v>
      </c>
      <c r="BY219" s="127" t="s">
        <v>189</v>
      </c>
      <c r="BZ219" s="131" t="s">
        <v>1081</v>
      </c>
    </row>
    <row r="220" spans="2:78" s="121" customFormat="1" outlineLevel="2">
      <c r="B220" s="121" t="s">
        <v>859</v>
      </c>
      <c r="C220" s="107" t="s">
        <v>1065</v>
      </c>
      <c r="D220" s="107" t="s">
        <v>195</v>
      </c>
      <c r="F220" s="107" t="s">
        <v>178</v>
      </c>
      <c r="G220" s="107" t="s">
        <v>388</v>
      </c>
      <c r="H220" s="122" t="s">
        <v>1082</v>
      </c>
      <c r="I220" s="124"/>
      <c r="J220" s="124"/>
      <c r="K220" s="124" t="s">
        <v>1083</v>
      </c>
      <c r="L220" s="124" t="s">
        <v>890</v>
      </c>
      <c r="M220" s="125" t="s">
        <v>183</v>
      </c>
      <c r="N220" s="126">
        <f t="shared" si="24"/>
        <v>0</v>
      </c>
      <c r="O220" s="127">
        <v>0</v>
      </c>
      <c r="P220" s="127"/>
      <c r="Q220" s="127"/>
      <c r="R220" s="127"/>
      <c r="S220" s="127"/>
      <c r="T220" s="127">
        <v>0</v>
      </c>
      <c r="U220" s="127"/>
      <c r="V220" s="127"/>
      <c r="W220" s="127"/>
      <c r="X220" s="127">
        <v>0</v>
      </c>
      <c r="Y220" s="127"/>
      <c r="Z220" s="127"/>
      <c r="AA220" s="127"/>
      <c r="AB220" s="127">
        <v>0</v>
      </c>
      <c r="AC220" s="127"/>
      <c r="AD220" s="127"/>
      <c r="AE220" s="127"/>
      <c r="AF220" s="127"/>
      <c r="AG220" s="127">
        <v>0</v>
      </c>
      <c r="AH220" s="127"/>
      <c r="AI220" s="127"/>
      <c r="AJ220" s="127"/>
      <c r="AK220" s="127">
        <v>0</v>
      </c>
      <c r="AL220" s="127"/>
      <c r="AM220" s="127"/>
      <c r="AN220" s="127"/>
      <c r="AO220" s="127">
        <v>0</v>
      </c>
      <c r="AP220" s="127"/>
      <c r="AQ220" s="127"/>
      <c r="AR220" s="127"/>
      <c r="AS220" s="127"/>
      <c r="AT220" s="127">
        <v>0</v>
      </c>
      <c r="AU220" s="127"/>
      <c r="AV220" s="127"/>
      <c r="AW220" s="127"/>
      <c r="AX220" s="127">
        <v>0</v>
      </c>
      <c r="AY220" s="127"/>
      <c r="AZ220" s="127"/>
      <c r="BA220" s="127"/>
      <c r="BB220" s="127">
        <v>0</v>
      </c>
      <c r="BC220" s="127"/>
      <c r="BD220" s="127"/>
      <c r="BE220" s="127"/>
      <c r="BF220" s="127"/>
      <c r="BG220" s="127">
        <v>0</v>
      </c>
      <c r="BH220" s="127"/>
      <c r="BI220" s="127"/>
      <c r="BJ220" s="127"/>
      <c r="BK220" s="127">
        <v>0</v>
      </c>
      <c r="BL220" s="127"/>
      <c r="BM220" s="127"/>
      <c r="BN220" s="127"/>
      <c r="BO220" s="127"/>
      <c r="BP220" s="127" t="s">
        <v>1084</v>
      </c>
      <c r="BQ220" s="127" t="s">
        <v>1085</v>
      </c>
      <c r="BR220" s="127" t="s">
        <v>1086</v>
      </c>
      <c r="BS220" s="127" t="s">
        <v>1087</v>
      </c>
      <c r="BT220" s="127" t="s">
        <v>1088</v>
      </c>
      <c r="BU220" s="127" t="s">
        <v>189</v>
      </c>
      <c r="BV220" s="127" t="s">
        <v>229</v>
      </c>
      <c r="BW220" s="127" t="s">
        <v>191</v>
      </c>
      <c r="BX220" s="127" t="s">
        <v>189</v>
      </c>
      <c r="BY220" s="127" t="s">
        <v>189</v>
      </c>
      <c r="BZ220" s="131" t="s">
        <v>1081</v>
      </c>
    </row>
    <row r="221" spans="2:78" s="121" customFormat="1" outlineLevel="2">
      <c r="B221" s="121" t="s">
        <v>859</v>
      </c>
      <c r="C221" s="107" t="s">
        <v>1065</v>
      </c>
      <c r="D221" s="107" t="s">
        <v>195</v>
      </c>
      <c r="F221" s="107" t="s">
        <v>178</v>
      </c>
      <c r="H221" s="122" t="s">
        <v>1089</v>
      </c>
      <c r="I221" s="124" t="s">
        <v>436</v>
      </c>
      <c r="J221" s="124"/>
      <c r="K221" s="124" t="s">
        <v>1090</v>
      </c>
      <c r="L221" s="124" t="s">
        <v>890</v>
      </c>
      <c r="M221" s="125" t="s">
        <v>183</v>
      </c>
      <c r="N221" s="126">
        <f t="shared" si="24"/>
        <v>10300</v>
      </c>
      <c r="O221" s="127">
        <v>0</v>
      </c>
      <c r="P221" s="127"/>
      <c r="Q221" s="127"/>
      <c r="R221" s="127"/>
      <c r="S221" s="127"/>
      <c r="T221" s="127">
        <v>0</v>
      </c>
      <c r="U221" s="127"/>
      <c r="V221" s="127"/>
      <c r="W221" s="127"/>
      <c r="X221" s="127">
        <v>0</v>
      </c>
      <c r="Y221" s="127"/>
      <c r="Z221" s="127"/>
      <c r="AA221" s="127"/>
      <c r="AB221" s="127"/>
      <c r="AC221" s="127"/>
      <c r="AD221" s="127"/>
      <c r="AE221" s="127"/>
      <c r="AF221" s="127"/>
      <c r="AG221" s="127">
        <v>0</v>
      </c>
      <c r="AH221" s="127"/>
      <c r="AI221" s="127"/>
      <c r="AJ221" s="127"/>
      <c r="AK221" s="127">
        <v>0</v>
      </c>
      <c r="AL221" s="127"/>
      <c r="AM221" s="127"/>
      <c r="AN221" s="127"/>
      <c r="AO221" s="127">
        <v>0</v>
      </c>
      <c r="AP221" s="127"/>
      <c r="AQ221" s="127"/>
      <c r="AR221" s="127"/>
      <c r="AS221" s="127"/>
      <c r="AT221" s="127">
        <v>0</v>
      </c>
      <c r="AU221" s="127"/>
      <c r="AV221" s="127">
        <v>2000</v>
      </c>
      <c r="AW221" s="127"/>
      <c r="AX221" s="127">
        <v>1000</v>
      </c>
      <c r="AY221" s="127">
        <v>1000</v>
      </c>
      <c r="AZ221" s="127">
        <v>1000</v>
      </c>
      <c r="BA221" s="127">
        <v>1000</v>
      </c>
      <c r="BB221" s="127">
        <v>1000</v>
      </c>
      <c r="BC221" s="127">
        <v>1000</v>
      </c>
      <c r="BD221" s="127"/>
      <c r="BE221" s="127"/>
      <c r="BF221" s="127">
        <v>1200</v>
      </c>
      <c r="BG221" s="127">
        <v>1100</v>
      </c>
      <c r="BH221" s="127"/>
      <c r="BI221" s="127"/>
      <c r="BJ221" s="127"/>
      <c r="BK221" s="127">
        <v>0</v>
      </c>
      <c r="BL221" s="127"/>
      <c r="BM221" s="127"/>
      <c r="BN221" s="127"/>
      <c r="BO221" s="127"/>
      <c r="BP221" s="127" t="s">
        <v>1091</v>
      </c>
      <c r="BQ221" s="127" t="s">
        <v>892</v>
      </c>
      <c r="BR221" s="127" t="s">
        <v>1092</v>
      </c>
      <c r="BS221" s="127" t="s">
        <v>1093</v>
      </c>
      <c r="BT221" s="127" t="s">
        <v>239</v>
      </c>
      <c r="BU221" s="127" t="s">
        <v>189</v>
      </c>
      <c r="BV221" s="127" t="s">
        <v>205</v>
      </c>
      <c r="BW221" s="127" t="s">
        <v>191</v>
      </c>
      <c r="BX221" s="127" t="s">
        <v>903</v>
      </c>
      <c r="BY221" s="127" t="s">
        <v>878</v>
      </c>
      <c r="BZ221" s="131" t="s">
        <v>1081</v>
      </c>
    </row>
    <row r="222" spans="2:78" s="121" customFormat="1" outlineLevel="2">
      <c r="B222" s="121" t="s">
        <v>859</v>
      </c>
      <c r="C222" s="107" t="s">
        <v>1065</v>
      </c>
      <c r="D222" s="107" t="s">
        <v>195</v>
      </c>
      <c r="F222" s="107" t="s">
        <v>178</v>
      </c>
      <c r="H222" s="122" t="s">
        <v>1094</v>
      </c>
      <c r="I222" s="124"/>
      <c r="J222" s="124"/>
      <c r="K222" s="124" t="s">
        <v>1095</v>
      </c>
      <c r="L222" s="124" t="s">
        <v>890</v>
      </c>
      <c r="M222" s="125" t="s">
        <v>183</v>
      </c>
      <c r="N222" s="126">
        <f t="shared" si="24"/>
        <v>5000</v>
      </c>
      <c r="O222" s="127"/>
      <c r="P222" s="127"/>
      <c r="Q222" s="127"/>
      <c r="R222" s="127"/>
      <c r="S222" s="127"/>
      <c r="T222" s="127">
        <v>0</v>
      </c>
      <c r="U222" s="127"/>
      <c r="V222" s="127"/>
      <c r="W222" s="127"/>
      <c r="X222" s="127">
        <v>0</v>
      </c>
      <c r="Y222" s="127"/>
      <c r="Z222" s="127"/>
      <c r="AA222" s="127"/>
      <c r="AB222" s="127">
        <v>0</v>
      </c>
      <c r="AC222" s="127"/>
      <c r="AD222" s="127"/>
      <c r="AE222" s="127"/>
      <c r="AF222" s="127"/>
      <c r="AG222" s="127">
        <v>0</v>
      </c>
      <c r="AH222" s="127"/>
      <c r="AI222" s="127"/>
      <c r="AJ222" s="127"/>
      <c r="AK222" s="127">
        <v>0</v>
      </c>
      <c r="AL222" s="127"/>
      <c r="AM222" s="127"/>
      <c r="AN222" s="127"/>
      <c r="AO222" s="127">
        <v>0</v>
      </c>
      <c r="AP222" s="127"/>
      <c r="AQ222" s="127"/>
      <c r="AR222" s="127"/>
      <c r="AS222" s="127"/>
      <c r="AT222" s="127">
        <v>0</v>
      </c>
      <c r="AU222" s="127"/>
      <c r="AV222" s="127"/>
      <c r="AW222" s="127"/>
      <c r="AX222" s="127">
        <v>1000</v>
      </c>
      <c r="AY222" s="127">
        <v>1000</v>
      </c>
      <c r="AZ222" s="127"/>
      <c r="BA222" s="127">
        <v>1000</v>
      </c>
      <c r="BB222" s="127">
        <v>0</v>
      </c>
      <c r="BC222" s="127">
        <v>1000</v>
      </c>
      <c r="BD222" s="127"/>
      <c r="BE222" s="127">
        <v>1000</v>
      </c>
      <c r="BF222" s="127"/>
      <c r="BG222" s="127">
        <v>0</v>
      </c>
      <c r="BH222" s="127"/>
      <c r="BI222" s="127"/>
      <c r="BJ222" s="127"/>
      <c r="BK222" s="127">
        <v>0</v>
      </c>
      <c r="BL222" s="127"/>
      <c r="BM222" s="127"/>
      <c r="BN222" s="127"/>
      <c r="BO222" s="127"/>
      <c r="BP222" s="127" t="s">
        <v>1096</v>
      </c>
      <c r="BQ222" s="127" t="s">
        <v>1051</v>
      </c>
      <c r="BR222" s="127" t="s">
        <v>1097</v>
      </c>
      <c r="BS222" s="127" t="s">
        <v>1098</v>
      </c>
      <c r="BT222" s="127" t="s">
        <v>188</v>
      </c>
      <c r="BU222" s="127" t="s">
        <v>189</v>
      </c>
      <c r="BV222" s="127" t="s">
        <v>229</v>
      </c>
      <c r="BW222" s="127" t="s">
        <v>343</v>
      </c>
      <c r="BX222" s="127" t="s">
        <v>305</v>
      </c>
      <c r="BY222" s="127" t="s">
        <v>189</v>
      </c>
      <c r="BZ222" s="131" t="s">
        <v>1081</v>
      </c>
    </row>
    <row r="223" spans="2:78" s="121" customFormat="1" outlineLevel="2">
      <c r="B223" s="121" t="s">
        <v>859</v>
      </c>
      <c r="C223" s="107" t="s">
        <v>1065</v>
      </c>
      <c r="D223" s="107" t="s">
        <v>195</v>
      </c>
      <c r="F223" s="107" t="s">
        <v>178</v>
      </c>
      <c r="H223" s="122" t="s">
        <v>1099</v>
      </c>
      <c r="I223" s="124"/>
      <c r="J223" s="124"/>
      <c r="K223" s="124" t="s">
        <v>1100</v>
      </c>
      <c r="L223" s="124" t="s">
        <v>890</v>
      </c>
      <c r="M223" s="125" t="s">
        <v>183</v>
      </c>
      <c r="N223" s="126">
        <f t="shared" si="24"/>
        <v>1200</v>
      </c>
      <c r="O223" s="127">
        <v>0</v>
      </c>
      <c r="P223" s="127"/>
      <c r="Q223" s="127"/>
      <c r="R223" s="127"/>
      <c r="S223" s="127"/>
      <c r="T223" s="127">
        <v>0</v>
      </c>
      <c r="U223" s="127"/>
      <c r="V223" s="127"/>
      <c r="W223" s="127"/>
      <c r="X223" s="127">
        <v>0</v>
      </c>
      <c r="Y223" s="127"/>
      <c r="Z223" s="127"/>
      <c r="AA223" s="127"/>
      <c r="AB223" s="127">
        <v>0</v>
      </c>
      <c r="AC223" s="127"/>
      <c r="AD223" s="127">
        <v>0</v>
      </c>
      <c r="AE223" s="127"/>
      <c r="AF223" s="127"/>
      <c r="AG223" s="127">
        <v>0</v>
      </c>
      <c r="AH223" s="127"/>
      <c r="AI223" s="127"/>
      <c r="AJ223" s="127"/>
      <c r="AK223" s="127">
        <v>0</v>
      </c>
      <c r="AL223" s="127"/>
      <c r="AM223" s="127"/>
      <c r="AN223" s="127"/>
      <c r="AO223" s="127"/>
      <c r="AP223" s="127"/>
      <c r="AQ223" s="127"/>
      <c r="AR223" s="127"/>
      <c r="AS223" s="127"/>
      <c r="AT223" s="127">
        <v>0</v>
      </c>
      <c r="AU223" s="127"/>
      <c r="AV223" s="127"/>
      <c r="AW223" s="127"/>
      <c r="AX223" s="127">
        <v>0</v>
      </c>
      <c r="AY223" s="127"/>
      <c r="AZ223" s="127"/>
      <c r="BA223" s="127"/>
      <c r="BB223" s="127">
        <v>0</v>
      </c>
      <c r="BC223" s="127"/>
      <c r="BD223" s="127">
        <v>1200</v>
      </c>
      <c r="BE223" s="127"/>
      <c r="BF223" s="127"/>
      <c r="BG223" s="127">
        <v>0</v>
      </c>
      <c r="BH223" s="127"/>
      <c r="BI223" s="127"/>
      <c r="BJ223" s="127"/>
      <c r="BK223" s="127">
        <v>0</v>
      </c>
      <c r="BL223" s="127"/>
      <c r="BM223" s="127"/>
      <c r="BN223" s="127"/>
      <c r="BO223" s="127"/>
      <c r="BP223" s="127" t="s">
        <v>1101</v>
      </c>
      <c r="BQ223" s="127" t="s">
        <v>1102</v>
      </c>
      <c r="BR223" s="127" t="s">
        <v>189</v>
      </c>
      <c r="BS223" s="127" t="s">
        <v>189</v>
      </c>
      <c r="BT223" s="127" t="s">
        <v>239</v>
      </c>
      <c r="BU223" s="127" t="s">
        <v>189</v>
      </c>
      <c r="BV223" s="127" t="s">
        <v>205</v>
      </c>
      <c r="BW223" s="127" t="s">
        <v>191</v>
      </c>
      <c r="BX223" s="127" t="s">
        <v>978</v>
      </c>
      <c r="BY223" s="127" t="s">
        <v>1103</v>
      </c>
      <c r="BZ223" s="131" t="s">
        <v>1081</v>
      </c>
    </row>
    <row r="224" spans="2:78" s="121" customFormat="1" outlineLevel="2">
      <c r="B224" s="121" t="s">
        <v>859</v>
      </c>
      <c r="C224" s="129" t="s">
        <v>1065</v>
      </c>
      <c r="D224" s="121" t="s">
        <v>177</v>
      </c>
      <c r="F224" s="107" t="s">
        <v>178</v>
      </c>
      <c r="H224" s="122" t="s">
        <v>1104</v>
      </c>
      <c r="I224" s="124"/>
      <c r="J224" s="124"/>
      <c r="K224" s="124" t="s">
        <v>1067</v>
      </c>
      <c r="L224" s="124" t="s">
        <v>890</v>
      </c>
      <c r="M224" s="125" t="s">
        <v>183</v>
      </c>
      <c r="N224" s="126">
        <f t="shared" si="24"/>
        <v>3105</v>
      </c>
      <c r="O224" s="127">
        <v>0</v>
      </c>
      <c r="P224" s="127"/>
      <c r="Q224" s="127"/>
      <c r="R224" s="127"/>
      <c r="S224" s="127"/>
      <c r="T224" s="127">
        <v>0</v>
      </c>
      <c r="U224" s="127"/>
      <c r="V224" s="127"/>
      <c r="W224" s="127"/>
      <c r="X224" s="127">
        <v>0</v>
      </c>
      <c r="Y224" s="127"/>
      <c r="Z224" s="127"/>
      <c r="AA224" s="127"/>
      <c r="AB224" s="127">
        <v>0</v>
      </c>
      <c r="AC224" s="127"/>
      <c r="AD224" s="127"/>
      <c r="AE224" s="127"/>
      <c r="AF224" s="127"/>
      <c r="AG224" s="127">
        <v>0</v>
      </c>
      <c r="AH224" s="127"/>
      <c r="AI224" s="127"/>
      <c r="AJ224" s="127"/>
      <c r="AK224" s="127">
        <v>0</v>
      </c>
      <c r="AL224" s="127"/>
      <c r="AM224" s="127"/>
      <c r="AN224" s="127"/>
      <c r="AO224" s="154">
        <v>3105</v>
      </c>
      <c r="AP224" s="127"/>
      <c r="AQ224" s="127"/>
      <c r="AR224" s="127"/>
      <c r="AS224" s="127"/>
      <c r="AT224" s="127">
        <v>0</v>
      </c>
      <c r="AU224" s="127"/>
      <c r="AV224" s="127"/>
      <c r="AW224" s="127"/>
      <c r="AX224" s="127">
        <v>0</v>
      </c>
      <c r="AY224" s="127"/>
      <c r="AZ224" s="127"/>
      <c r="BA224" s="127"/>
      <c r="BB224" s="127">
        <v>0</v>
      </c>
      <c r="BC224" s="127"/>
      <c r="BD224" s="127"/>
      <c r="BE224" s="127"/>
      <c r="BF224" s="127"/>
      <c r="BG224" s="127">
        <v>0</v>
      </c>
      <c r="BH224" s="127"/>
      <c r="BI224" s="127"/>
      <c r="BJ224" s="127"/>
      <c r="BK224" s="127">
        <v>0</v>
      </c>
      <c r="BL224" s="127"/>
      <c r="BM224" s="127"/>
      <c r="BN224" s="127"/>
      <c r="BO224" s="127"/>
      <c r="BP224" s="127" t="s">
        <v>1105</v>
      </c>
      <c r="BQ224" s="127" t="s">
        <v>189</v>
      </c>
      <c r="BR224" s="127" t="s">
        <v>189</v>
      </c>
      <c r="BS224" s="127" t="s">
        <v>189</v>
      </c>
      <c r="BT224" s="127" t="s">
        <v>188</v>
      </c>
      <c r="BU224" s="127" t="s">
        <v>189</v>
      </c>
      <c r="BV224" s="127" t="s">
        <v>188</v>
      </c>
      <c r="BW224" s="127" t="s">
        <v>733</v>
      </c>
      <c r="BX224" s="127" t="s">
        <v>189</v>
      </c>
      <c r="BY224" s="127" t="s">
        <v>189</v>
      </c>
      <c r="BZ224" s="127" t="s">
        <v>189</v>
      </c>
    </row>
    <row r="225" spans="2:78" s="121" customFormat="1" outlineLevel="2">
      <c r="B225" s="121" t="s">
        <v>859</v>
      </c>
      <c r="C225" s="121" t="s">
        <v>1065</v>
      </c>
      <c r="F225" s="121" t="s">
        <v>473</v>
      </c>
      <c r="G225" s="121" t="s">
        <v>1106</v>
      </c>
      <c r="H225" s="122" t="s">
        <v>1107</v>
      </c>
      <c r="I225" s="123" t="s">
        <v>972</v>
      </c>
      <c r="J225" s="124"/>
      <c r="K225" s="124" t="s">
        <v>1108</v>
      </c>
      <c r="L225" s="124" t="s">
        <v>881</v>
      </c>
      <c r="M225" s="125" t="s">
        <v>183</v>
      </c>
      <c r="N225" s="126">
        <f t="shared" si="24"/>
        <v>20000</v>
      </c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>
        <v>1000</v>
      </c>
      <c r="Z225" s="127">
        <v>1000</v>
      </c>
      <c r="AA225" s="127">
        <v>1000</v>
      </c>
      <c r="AB225" s="127">
        <v>1000</v>
      </c>
      <c r="AC225" s="127">
        <v>1000</v>
      </c>
      <c r="AD225" s="127">
        <v>1000</v>
      </c>
      <c r="AE225" s="127">
        <v>1000</v>
      </c>
      <c r="AF225" s="127">
        <v>1000</v>
      </c>
      <c r="AG225" s="127">
        <v>1000</v>
      </c>
      <c r="AH225" s="127">
        <v>1000</v>
      </c>
      <c r="AI225" s="127">
        <v>1000</v>
      </c>
      <c r="AJ225" s="127">
        <v>1000</v>
      </c>
      <c r="AK225" s="127">
        <v>1000</v>
      </c>
      <c r="AL225" s="127">
        <v>1000</v>
      </c>
      <c r="AM225" s="127">
        <v>1000</v>
      </c>
      <c r="AN225" s="127">
        <v>1000</v>
      </c>
      <c r="AO225" s="127">
        <v>1000</v>
      </c>
      <c r="AP225" s="127">
        <v>1000</v>
      </c>
      <c r="AQ225" s="127">
        <v>1000</v>
      </c>
      <c r="AR225" s="127">
        <v>1000</v>
      </c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>
        <v>0</v>
      </c>
      <c r="BH225" s="127"/>
      <c r="BI225" s="127"/>
      <c r="BJ225" s="127"/>
      <c r="BK225" s="127">
        <v>0</v>
      </c>
      <c r="BL225" s="127"/>
      <c r="BM225" s="127"/>
      <c r="BN225" s="127"/>
      <c r="BO225" s="127"/>
      <c r="BP225" s="127" t="s">
        <v>1109</v>
      </c>
      <c r="BQ225" s="127" t="s">
        <v>915</v>
      </c>
      <c r="BR225" s="127" t="s">
        <v>1110</v>
      </c>
      <c r="BS225" s="127" t="s">
        <v>1111</v>
      </c>
      <c r="BT225" s="127" t="s">
        <v>188</v>
      </c>
      <c r="BU225" s="127" t="s">
        <v>189</v>
      </c>
      <c r="BV225" s="127" t="s">
        <v>190</v>
      </c>
      <c r="BW225" s="127" t="s">
        <v>191</v>
      </c>
      <c r="BX225" s="127" t="s">
        <v>1112</v>
      </c>
      <c r="BY225" s="127" t="s">
        <v>1113</v>
      </c>
      <c r="BZ225" s="128" t="s">
        <v>1114</v>
      </c>
    </row>
    <row r="226" spans="2:78" s="121" customFormat="1" outlineLevel="2">
      <c r="B226" s="121" t="s">
        <v>859</v>
      </c>
      <c r="C226" s="121" t="s">
        <v>1065</v>
      </c>
      <c r="D226" s="107" t="s">
        <v>198</v>
      </c>
      <c r="F226" s="107" t="s">
        <v>178</v>
      </c>
      <c r="H226" s="122" t="s">
        <v>1115</v>
      </c>
      <c r="I226" s="124"/>
      <c r="J226" s="124"/>
      <c r="K226" s="124" t="s">
        <v>1116</v>
      </c>
      <c r="L226" s="124" t="s">
        <v>224</v>
      </c>
      <c r="M226" s="125" t="s">
        <v>183</v>
      </c>
      <c r="N226" s="126">
        <f t="shared" si="24"/>
        <v>0</v>
      </c>
      <c r="O226" s="127">
        <v>0</v>
      </c>
      <c r="P226" s="127"/>
      <c r="Q226" s="127"/>
      <c r="R226" s="127"/>
      <c r="S226" s="127"/>
      <c r="T226" s="127">
        <v>0</v>
      </c>
      <c r="U226" s="127"/>
      <c r="V226" s="127"/>
      <c r="W226" s="127"/>
      <c r="X226" s="127">
        <v>0</v>
      </c>
      <c r="Y226" s="127"/>
      <c r="Z226" s="127"/>
      <c r="AA226" s="127"/>
      <c r="AB226" s="127">
        <v>0</v>
      </c>
      <c r="AC226" s="127"/>
      <c r="AD226" s="127"/>
      <c r="AE226" s="127"/>
      <c r="AF226" s="127"/>
      <c r="AG226" s="127">
        <v>0</v>
      </c>
      <c r="AH226" s="127"/>
      <c r="AI226" s="127"/>
      <c r="AJ226" s="127"/>
      <c r="AK226" s="127">
        <v>0</v>
      </c>
      <c r="AL226" s="127"/>
      <c r="AM226" s="127"/>
      <c r="AN226" s="127"/>
      <c r="AO226" s="127">
        <v>0</v>
      </c>
      <c r="AP226" s="127"/>
      <c r="AQ226" s="127"/>
      <c r="AR226" s="127"/>
      <c r="AS226" s="127"/>
      <c r="AT226" s="127">
        <v>0</v>
      </c>
      <c r="AU226" s="127"/>
      <c r="AV226" s="127"/>
      <c r="AW226" s="127"/>
      <c r="AX226" s="127">
        <v>0</v>
      </c>
      <c r="AY226" s="127"/>
      <c r="AZ226" s="127"/>
      <c r="BA226" s="127"/>
      <c r="BB226" s="127">
        <v>0</v>
      </c>
      <c r="BC226" s="127"/>
      <c r="BD226" s="127"/>
      <c r="BE226" s="127"/>
      <c r="BF226" s="127"/>
      <c r="BG226" s="127">
        <v>0</v>
      </c>
      <c r="BH226" s="127"/>
      <c r="BI226" s="127"/>
      <c r="BJ226" s="127"/>
      <c r="BK226" s="127">
        <v>0</v>
      </c>
      <c r="BL226" s="127"/>
      <c r="BM226" s="127"/>
      <c r="BN226" s="127"/>
      <c r="BO226" s="127"/>
      <c r="BP226" s="127" t="s">
        <v>1117</v>
      </c>
      <c r="BQ226" s="127" t="s">
        <v>236</v>
      </c>
      <c r="BR226" s="127" t="s">
        <v>1118</v>
      </c>
      <c r="BS226" s="127" t="s">
        <v>1119</v>
      </c>
      <c r="BT226" s="127" t="s">
        <v>188</v>
      </c>
      <c r="BU226" s="127" t="s">
        <v>189</v>
      </c>
      <c r="BV226" s="127" t="s">
        <v>205</v>
      </c>
      <c r="BW226" s="127" t="s">
        <v>191</v>
      </c>
      <c r="BX226" s="127" t="s">
        <v>1120</v>
      </c>
      <c r="BY226" s="127" t="s">
        <v>1121</v>
      </c>
      <c r="BZ226" s="131" t="s">
        <v>230</v>
      </c>
    </row>
    <row r="227" spans="2:78" s="121" customFormat="1" outlineLevel="2">
      <c r="B227" s="121" t="s">
        <v>859</v>
      </c>
      <c r="C227" s="121" t="s">
        <v>1065</v>
      </c>
      <c r="D227" s="107"/>
      <c r="F227" s="107" t="s">
        <v>89</v>
      </c>
      <c r="G227" s="107" t="s">
        <v>199</v>
      </c>
      <c r="H227" s="122" t="s">
        <v>1122</v>
      </c>
      <c r="I227" s="124"/>
      <c r="J227" s="124"/>
      <c r="K227" s="124" t="s">
        <v>1123</v>
      </c>
      <c r="L227" s="124" t="s">
        <v>224</v>
      </c>
      <c r="M227" s="125" t="s">
        <v>183</v>
      </c>
      <c r="N227" s="126">
        <f t="shared" si="24"/>
        <v>600</v>
      </c>
      <c r="O227" s="127">
        <v>0</v>
      </c>
      <c r="P227" s="127"/>
      <c r="Q227" s="127"/>
      <c r="R227" s="127"/>
      <c r="S227" s="127"/>
      <c r="T227" s="127">
        <v>0</v>
      </c>
      <c r="U227" s="127"/>
      <c r="V227" s="127"/>
      <c r="W227" s="127"/>
      <c r="X227" s="127">
        <v>0</v>
      </c>
      <c r="Y227" s="127"/>
      <c r="Z227" s="127"/>
      <c r="AA227" s="127"/>
      <c r="AB227" s="130">
        <v>600</v>
      </c>
      <c r="AC227" s="127"/>
      <c r="AD227" s="127"/>
      <c r="AE227" s="127"/>
      <c r="AF227" s="127"/>
      <c r="AG227" s="127">
        <v>0</v>
      </c>
      <c r="AH227" s="127"/>
      <c r="AI227" s="127"/>
      <c r="AJ227" s="127"/>
      <c r="AK227" s="127">
        <v>0</v>
      </c>
      <c r="AL227" s="127"/>
      <c r="AM227" s="127"/>
      <c r="AN227" s="127"/>
      <c r="AO227" s="127">
        <v>0</v>
      </c>
      <c r="AP227" s="127"/>
      <c r="AQ227" s="127"/>
      <c r="AR227" s="127"/>
      <c r="AS227" s="127"/>
      <c r="AT227" s="127">
        <v>0</v>
      </c>
      <c r="AU227" s="127"/>
      <c r="AV227" s="127"/>
      <c r="AW227" s="127"/>
      <c r="AX227" s="127"/>
      <c r="AY227" s="127"/>
      <c r="AZ227" s="127"/>
      <c r="BA227" s="127"/>
      <c r="BB227" s="127">
        <v>0</v>
      </c>
      <c r="BC227" s="127"/>
      <c r="BD227" s="127"/>
      <c r="BE227" s="127"/>
      <c r="BF227" s="127"/>
      <c r="BG227" s="127">
        <v>0</v>
      </c>
      <c r="BH227" s="127"/>
      <c r="BI227" s="127"/>
      <c r="BJ227" s="127"/>
      <c r="BK227" s="127">
        <v>0</v>
      </c>
      <c r="BL227" s="127"/>
      <c r="BM227" s="127"/>
      <c r="BN227" s="127"/>
      <c r="BO227" s="127"/>
      <c r="BP227" s="127" t="s">
        <v>1124</v>
      </c>
      <c r="BQ227" s="127" t="s">
        <v>236</v>
      </c>
      <c r="BR227" s="127" t="s">
        <v>1125</v>
      </c>
      <c r="BS227" s="127" t="s">
        <v>1126</v>
      </c>
      <c r="BT227" s="127" t="s">
        <v>188</v>
      </c>
      <c r="BU227" s="127" t="s">
        <v>189</v>
      </c>
      <c r="BV227" s="127" t="s">
        <v>205</v>
      </c>
      <c r="BW227" s="127" t="s">
        <v>191</v>
      </c>
      <c r="BX227" s="127" t="s">
        <v>240</v>
      </c>
      <c r="BY227" s="127" t="s">
        <v>1127</v>
      </c>
      <c r="BZ227" s="131" t="s">
        <v>230</v>
      </c>
    </row>
    <row r="228" spans="2:78" s="121" customFormat="1" outlineLevel="2">
      <c r="B228" s="121" t="s">
        <v>859</v>
      </c>
      <c r="C228" s="121" t="s">
        <v>1065</v>
      </c>
      <c r="D228" s="107" t="s">
        <v>195</v>
      </c>
      <c r="F228" s="107" t="s">
        <v>178</v>
      </c>
      <c r="H228" s="122" t="s">
        <v>1122</v>
      </c>
      <c r="I228" s="124"/>
      <c r="J228" s="124"/>
      <c r="K228" s="124" t="s">
        <v>1128</v>
      </c>
      <c r="L228" s="124" t="s">
        <v>224</v>
      </c>
      <c r="M228" s="125" t="s">
        <v>183</v>
      </c>
      <c r="N228" s="126">
        <f t="shared" si="24"/>
        <v>1200</v>
      </c>
      <c r="O228" s="127">
        <v>0</v>
      </c>
      <c r="P228" s="127"/>
      <c r="Q228" s="127"/>
      <c r="R228" s="127"/>
      <c r="S228" s="127"/>
      <c r="T228" s="130"/>
      <c r="U228" s="127"/>
      <c r="V228" s="127"/>
      <c r="W228" s="127"/>
      <c r="X228" s="127">
        <v>0</v>
      </c>
      <c r="Y228" s="127"/>
      <c r="Z228" s="127"/>
      <c r="AA228" s="130">
        <v>1200</v>
      </c>
      <c r="AB228" s="127">
        <v>0</v>
      </c>
      <c r="AC228" s="127"/>
      <c r="AD228" s="127"/>
      <c r="AE228" s="127"/>
      <c r="AF228" s="127"/>
      <c r="AG228" s="127">
        <v>0</v>
      </c>
      <c r="AH228" s="127"/>
      <c r="AI228" s="127"/>
      <c r="AJ228" s="127"/>
      <c r="AK228" s="127">
        <v>0</v>
      </c>
      <c r="AL228" s="127"/>
      <c r="AM228" s="127"/>
      <c r="AN228" s="127"/>
      <c r="AO228" s="127">
        <v>0</v>
      </c>
      <c r="AP228" s="127"/>
      <c r="AQ228" s="127"/>
      <c r="AR228" s="127"/>
      <c r="AS228" s="127"/>
      <c r="AT228" s="127">
        <v>0</v>
      </c>
      <c r="AU228" s="127"/>
      <c r="AV228" s="127"/>
      <c r="AW228" s="127"/>
      <c r="AX228" s="127"/>
      <c r="AY228" s="127"/>
      <c r="AZ228" s="127"/>
      <c r="BA228" s="127"/>
      <c r="BB228" s="127">
        <v>0</v>
      </c>
      <c r="BC228" s="127"/>
      <c r="BD228" s="127"/>
      <c r="BE228" s="127"/>
      <c r="BF228" s="127"/>
      <c r="BG228" s="127">
        <v>0</v>
      </c>
      <c r="BH228" s="127"/>
      <c r="BI228" s="127"/>
      <c r="BJ228" s="127"/>
      <c r="BK228" s="127">
        <v>0</v>
      </c>
      <c r="BL228" s="127"/>
      <c r="BM228" s="127"/>
      <c r="BN228" s="127"/>
      <c r="BO228" s="127"/>
      <c r="BP228" s="127" t="s">
        <v>1124</v>
      </c>
      <c r="BQ228" s="127" t="s">
        <v>236</v>
      </c>
      <c r="BR228" s="127" t="s">
        <v>1125</v>
      </c>
      <c r="BS228" s="127" t="s">
        <v>1126</v>
      </c>
      <c r="BT228" s="127" t="s">
        <v>188</v>
      </c>
      <c r="BU228" s="127" t="s">
        <v>189</v>
      </c>
      <c r="BV228" s="127" t="s">
        <v>205</v>
      </c>
      <c r="BW228" s="127" t="s">
        <v>191</v>
      </c>
      <c r="BX228" s="127" t="s">
        <v>240</v>
      </c>
      <c r="BY228" s="127" t="s">
        <v>1127</v>
      </c>
      <c r="BZ228" s="131" t="s">
        <v>230</v>
      </c>
    </row>
    <row r="229" spans="2:78" s="121" customFormat="1" outlineLevel="2">
      <c r="B229" s="121" t="s">
        <v>859</v>
      </c>
      <c r="C229" s="121" t="s">
        <v>1065</v>
      </c>
      <c r="D229" s="107"/>
      <c r="F229" s="107" t="s">
        <v>89</v>
      </c>
      <c r="G229" s="107" t="s">
        <v>199</v>
      </c>
      <c r="H229" s="122" t="s">
        <v>1122</v>
      </c>
      <c r="I229" s="124"/>
      <c r="J229" s="124"/>
      <c r="K229" s="124" t="s">
        <v>1129</v>
      </c>
      <c r="L229" s="124" t="s">
        <v>224</v>
      </c>
      <c r="M229" s="125" t="s">
        <v>183</v>
      </c>
      <c r="N229" s="126">
        <f t="shared" si="24"/>
        <v>700</v>
      </c>
      <c r="O229" s="127">
        <v>0</v>
      </c>
      <c r="P229" s="127"/>
      <c r="Q229" s="127"/>
      <c r="R229" s="127"/>
      <c r="S229" s="127"/>
      <c r="T229" s="130">
        <v>700</v>
      </c>
      <c r="U229" s="127"/>
      <c r="V229" s="127"/>
      <c r="W229" s="127"/>
      <c r="X229" s="127">
        <v>0</v>
      </c>
      <c r="Y229" s="127"/>
      <c r="Z229" s="127"/>
      <c r="AA229" s="127"/>
      <c r="AB229" s="127"/>
      <c r="AC229" s="127"/>
      <c r="AD229" s="127"/>
      <c r="AE229" s="127"/>
      <c r="AF229" s="127"/>
      <c r="AG229" s="127">
        <v>0</v>
      </c>
      <c r="AH229" s="127"/>
      <c r="AI229" s="127"/>
      <c r="AJ229" s="127"/>
      <c r="AK229" s="127">
        <v>0</v>
      </c>
      <c r="AL229" s="127"/>
      <c r="AM229" s="127"/>
      <c r="AN229" s="127"/>
      <c r="AO229" s="127">
        <v>0</v>
      </c>
      <c r="AP229" s="127"/>
      <c r="AQ229" s="127"/>
      <c r="AR229" s="127"/>
      <c r="AS229" s="127"/>
      <c r="AT229" s="127">
        <v>0</v>
      </c>
      <c r="AU229" s="127"/>
      <c r="AV229" s="127"/>
      <c r="AW229" s="127"/>
      <c r="AX229" s="127"/>
      <c r="AY229" s="127"/>
      <c r="AZ229" s="127"/>
      <c r="BA229" s="127"/>
      <c r="BB229" s="127">
        <v>0</v>
      </c>
      <c r="BC229" s="127"/>
      <c r="BD229" s="127"/>
      <c r="BE229" s="127"/>
      <c r="BF229" s="127"/>
      <c r="BG229" s="127">
        <v>0</v>
      </c>
      <c r="BH229" s="127"/>
      <c r="BI229" s="127"/>
      <c r="BJ229" s="127"/>
      <c r="BK229" s="127">
        <v>0</v>
      </c>
      <c r="BL229" s="127"/>
      <c r="BM229" s="127"/>
      <c r="BN229" s="127"/>
      <c r="BO229" s="127"/>
      <c r="BP229" s="127" t="s">
        <v>1124</v>
      </c>
      <c r="BQ229" s="127" t="s">
        <v>236</v>
      </c>
      <c r="BR229" s="127" t="s">
        <v>1125</v>
      </c>
      <c r="BS229" s="127" t="s">
        <v>1126</v>
      </c>
      <c r="BT229" s="127" t="s">
        <v>188</v>
      </c>
      <c r="BU229" s="127" t="s">
        <v>189</v>
      </c>
      <c r="BV229" s="127" t="s">
        <v>205</v>
      </c>
      <c r="BW229" s="127" t="s">
        <v>191</v>
      </c>
      <c r="BX229" s="127" t="s">
        <v>240</v>
      </c>
      <c r="BY229" s="127" t="s">
        <v>1127</v>
      </c>
      <c r="BZ229" s="131" t="s">
        <v>230</v>
      </c>
    </row>
    <row r="230" spans="2:78" s="121" customFormat="1" outlineLevel="2">
      <c r="B230" s="121" t="s">
        <v>859</v>
      </c>
      <c r="C230" s="121" t="s">
        <v>1065</v>
      </c>
      <c r="D230" s="145" t="s">
        <v>195</v>
      </c>
      <c r="F230" s="107" t="s">
        <v>178</v>
      </c>
      <c r="H230" s="122" t="s">
        <v>1130</v>
      </c>
      <c r="I230" s="124"/>
      <c r="J230" s="124"/>
      <c r="K230" s="124" t="s">
        <v>1131</v>
      </c>
      <c r="L230" s="124" t="s">
        <v>890</v>
      </c>
      <c r="M230" s="125" t="s">
        <v>183</v>
      </c>
      <c r="N230" s="126">
        <f t="shared" si="24"/>
        <v>1200</v>
      </c>
      <c r="O230" s="127">
        <v>0</v>
      </c>
      <c r="P230" s="127"/>
      <c r="Q230" s="127"/>
      <c r="R230" s="127"/>
      <c r="S230" s="127"/>
      <c r="T230" s="127">
        <v>0</v>
      </c>
      <c r="U230" s="127"/>
      <c r="V230" s="127"/>
      <c r="W230" s="127"/>
      <c r="X230" s="127">
        <v>0</v>
      </c>
      <c r="Y230" s="127"/>
      <c r="Z230" s="127"/>
      <c r="AA230" s="127"/>
      <c r="AB230" s="127">
        <v>0</v>
      </c>
      <c r="AC230" s="127"/>
      <c r="AD230" s="127"/>
      <c r="AE230" s="127"/>
      <c r="AF230" s="127"/>
      <c r="AG230" s="127">
        <v>0</v>
      </c>
      <c r="AH230" s="127"/>
      <c r="AI230" s="127"/>
      <c r="AJ230" s="127"/>
      <c r="AK230" s="127">
        <v>0</v>
      </c>
      <c r="AL230" s="127"/>
      <c r="AM230" s="127"/>
      <c r="AN230" s="127"/>
      <c r="AO230" s="127">
        <v>0</v>
      </c>
      <c r="AP230" s="127"/>
      <c r="AQ230" s="127"/>
      <c r="AR230" s="127"/>
      <c r="AS230" s="127"/>
      <c r="AT230" s="127">
        <v>0</v>
      </c>
      <c r="AU230" s="127"/>
      <c r="AV230" s="127"/>
      <c r="AW230" s="127"/>
      <c r="AX230" s="127">
        <v>0</v>
      </c>
      <c r="AY230" s="127"/>
      <c r="AZ230" s="127"/>
      <c r="BA230" s="127"/>
      <c r="BB230" s="127">
        <v>1200</v>
      </c>
      <c r="BC230" s="127"/>
      <c r="BD230" s="127"/>
      <c r="BE230" s="127"/>
      <c r="BF230" s="127"/>
      <c r="BG230" s="127">
        <v>0</v>
      </c>
      <c r="BH230" s="127"/>
      <c r="BI230" s="127"/>
      <c r="BJ230" s="127"/>
      <c r="BK230" s="127">
        <v>0</v>
      </c>
      <c r="BL230" s="127"/>
      <c r="BM230" s="127"/>
      <c r="BN230" s="127"/>
      <c r="BO230" s="127"/>
      <c r="BP230" s="127" t="s">
        <v>1132</v>
      </c>
      <c r="BQ230" s="127" t="s">
        <v>1133</v>
      </c>
      <c r="BR230" s="127" t="s">
        <v>1134</v>
      </c>
      <c r="BS230" s="127" t="s">
        <v>1135</v>
      </c>
      <c r="BT230" s="127" t="s">
        <v>239</v>
      </c>
      <c r="BU230" s="127" t="s">
        <v>1012</v>
      </c>
      <c r="BV230" s="127" t="s">
        <v>205</v>
      </c>
      <c r="BW230" s="127" t="s">
        <v>343</v>
      </c>
      <c r="BX230" s="127" t="s">
        <v>534</v>
      </c>
      <c r="BY230" s="127" t="s">
        <v>1136</v>
      </c>
      <c r="BZ230" s="131" t="s">
        <v>1081</v>
      </c>
    </row>
    <row r="231" spans="2:78" s="121" customFormat="1" outlineLevel="2">
      <c r="B231" s="121" t="s">
        <v>859</v>
      </c>
      <c r="C231" s="121" t="s">
        <v>1065</v>
      </c>
      <c r="D231" s="145" t="s">
        <v>195</v>
      </c>
      <c r="F231" s="107" t="s">
        <v>178</v>
      </c>
      <c r="H231" s="122" t="s">
        <v>1137</v>
      </c>
      <c r="I231" s="124"/>
      <c r="J231" s="124"/>
      <c r="K231" s="124"/>
      <c r="L231" s="124" t="s">
        <v>890</v>
      </c>
      <c r="M231" s="125" t="s">
        <v>183</v>
      </c>
      <c r="N231" s="126">
        <f t="shared" si="24"/>
        <v>1000</v>
      </c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>
        <v>1000</v>
      </c>
      <c r="BC231" s="127"/>
      <c r="BD231" s="127"/>
      <c r="BE231" s="127"/>
      <c r="BF231" s="127"/>
      <c r="BG231" s="127"/>
      <c r="BH231" s="127"/>
      <c r="BI231" s="127"/>
      <c r="BJ231" s="127"/>
      <c r="BK231" s="127"/>
      <c r="BL231" s="127"/>
      <c r="BM231" s="127"/>
      <c r="BN231" s="127"/>
      <c r="BO231" s="127"/>
      <c r="BP231" s="127" t="s">
        <v>1138</v>
      </c>
      <c r="BQ231" s="127"/>
      <c r="BR231" s="127"/>
      <c r="BS231" s="127"/>
      <c r="BT231" s="127"/>
      <c r="BU231" s="127"/>
      <c r="BV231" s="127"/>
      <c r="BW231" s="127"/>
      <c r="BX231" s="127"/>
      <c r="BY231" s="127"/>
      <c r="BZ231" s="131" t="s">
        <v>1081</v>
      </c>
    </row>
    <row r="232" spans="2:78" s="121" customFormat="1" outlineLevel="2">
      <c r="B232" s="121" t="s">
        <v>859</v>
      </c>
      <c r="C232" s="121" t="s">
        <v>1065</v>
      </c>
      <c r="F232" s="107" t="s">
        <v>473</v>
      </c>
      <c r="G232" s="107" t="s">
        <v>199</v>
      </c>
      <c r="H232" s="122" t="s">
        <v>1139</v>
      </c>
      <c r="I232" s="123" t="s">
        <v>1140</v>
      </c>
      <c r="J232" s="124"/>
      <c r="K232" s="124" t="s">
        <v>1141</v>
      </c>
      <c r="L232" s="124" t="s">
        <v>863</v>
      </c>
      <c r="M232" s="125" t="s">
        <v>249</v>
      </c>
      <c r="N232" s="126">
        <f t="shared" si="24"/>
        <v>14000</v>
      </c>
      <c r="O232" s="130">
        <v>3500</v>
      </c>
      <c r="P232" s="127"/>
      <c r="Q232" s="127"/>
      <c r="R232" s="127"/>
      <c r="S232" s="127"/>
      <c r="T232" s="130">
        <v>3500</v>
      </c>
      <c r="U232" s="127"/>
      <c r="V232" s="127"/>
      <c r="W232" s="127"/>
      <c r="X232" s="127">
        <v>3500</v>
      </c>
      <c r="Y232" s="127"/>
      <c r="Z232" s="127"/>
      <c r="AA232" s="127"/>
      <c r="AB232" s="127">
        <v>3500</v>
      </c>
      <c r="AC232" s="127"/>
      <c r="AD232" s="127"/>
      <c r="AE232" s="127"/>
      <c r="AF232" s="127"/>
      <c r="AG232" s="127">
        <v>0</v>
      </c>
      <c r="AH232" s="127"/>
      <c r="AI232" s="127"/>
      <c r="AJ232" s="127"/>
      <c r="AK232" s="127">
        <v>0</v>
      </c>
      <c r="AL232" s="127"/>
      <c r="AM232" s="127"/>
      <c r="AN232" s="127"/>
      <c r="AO232" s="127">
        <v>0</v>
      </c>
      <c r="AP232" s="127"/>
      <c r="AQ232" s="127"/>
      <c r="AR232" s="127"/>
      <c r="AS232" s="127"/>
      <c r="AT232" s="127">
        <v>0</v>
      </c>
      <c r="AU232" s="127"/>
      <c r="AV232" s="127"/>
      <c r="AW232" s="127"/>
      <c r="AX232" s="127">
        <v>0</v>
      </c>
      <c r="AY232" s="127"/>
      <c r="AZ232" s="127"/>
      <c r="BA232" s="127"/>
      <c r="BB232" s="127">
        <v>0</v>
      </c>
      <c r="BC232" s="127"/>
      <c r="BD232" s="127"/>
      <c r="BE232" s="127"/>
      <c r="BF232" s="127"/>
      <c r="BG232" s="127">
        <v>0</v>
      </c>
      <c r="BH232" s="127"/>
      <c r="BI232" s="127"/>
      <c r="BJ232" s="127"/>
      <c r="BK232" s="127">
        <v>0</v>
      </c>
      <c r="BL232" s="127"/>
      <c r="BM232" s="127"/>
      <c r="BN232" s="127"/>
      <c r="BO232" s="127"/>
      <c r="BP232" s="127" t="s">
        <v>1142</v>
      </c>
      <c r="BQ232" s="127" t="s">
        <v>251</v>
      </c>
      <c r="BR232" s="127" t="s">
        <v>1143</v>
      </c>
      <c r="BS232" s="127" t="s">
        <v>1144</v>
      </c>
      <c r="BT232" s="127" t="s">
        <v>303</v>
      </c>
      <c r="BU232" s="127" t="s">
        <v>1145</v>
      </c>
      <c r="BV232" s="127" t="s">
        <v>254</v>
      </c>
      <c r="BW232" s="127" t="s">
        <v>191</v>
      </c>
      <c r="BX232" s="127" t="s">
        <v>305</v>
      </c>
      <c r="BY232" s="127" t="s">
        <v>596</v>
      </c>
      <c r="BZ232" s="128" t="s">
        <v>1146</v>
      </c>
    </row>
    <row r="233" spans="2:78" s="121" customFormat="1" outlineLevel="2">
      <c r="B233" s="121" t="s">
        <v>859</v>
      </c>
      <c r="C233" s="121" t="s">
        <v>1065</v>
      </c>
      <c r="D233" s="107"/>
      <c r="F233" s="107" t="s">
        <v>473</v>
      </c>
      <c r="G233" s="107" t="s">
        <v>953</v>
      </c>
      <c r="H233" s="122" t="s">
        <v>954</v>
      </c>
      <c r="I233" s="124" t="s">
        <v>436</v>
      </c>
      <c r="J233" s="124"/>
      <c r="K233" s="124" t="s">
        <v>1147</v>
      </c>
      <c r="L233" s="124" t="s">
        <v>956</v>
      </c>
      <c r="M233" s="125" t="s">
        <v>183</v>
      </c>
      <c r="N233" s="126">
        <f t="shared" si="24"/>
        <v>18000</v>
      </c>
      <c r="O233" s="127"/>
      <c r="P233" s="127"/>
      <c r="Q233" s="127">
        <v>2000</v>
      </c>
      <c r="R233" s="127">
        <v>2000</v>
      </c>
      <c r="S233" s="127">
        <v>2000</v>
      </c>
      <c r="T233" s="127">
        <v>2000</v>
      </c>
      <c r="U233" s="127">
        <v>2000</v>
      </c>
      <c r="V233" s="127">
        <v>2000</v>
      </c>
      <c r="W233" s="127">
        <v>2000</v>
      </c>
      <c r="X233" s="127">
        <v>2000</v>
      </c>
      <c r="Y233" s="127">
        <v>2000</v>
      </c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>
        <v>0</v>
      </c>
      <c r="AU233" s="127"/>
      <c r="AV233" s="127"/>
      <c r="AW233" s="127"/>
      <c r="AX233" s="127">
        <v>0</v>
      </c>
      <c r="AY233" s="127"/>
      <c r="AZ233" s="127"/>
      <c r="BA233" s="127"/>
      <c r="BB233" s="127">
        <v>0</v>
      </c>
      <c r="BC233" s="127"/>
      <c r="BD233" s="127"/>
      <c r="BE233" s="127"/>
      <c r="BF233" s="127"/>
      <c r="BG233" s="127">
        <v>0</v>
      </c>
      <c r="BH233" s="127"/>
      <c r="BI233" s="127"/>
      <c r="BJ233" s="127"/>
      <c r="BK233" s="127">
        <v>0</v>
      </c>
      <c r="BL233" s="127"/>
      <c r="BM233" s="127"/>
      <c r="BN233" s="127"/>
      <c r="BO233" s="127"/>
      <c r="BP233" s="127" t="s">
        <v>957</v>
      </c>
      <c r="BQ233" s="127" t="s">
        <v>958</v>
      </c>
      <c r="BR233" s="127" t="s">
        <v>959</v>
      </c>
      <c r="BS233" s="127" t="s">
        <v>960</v>
      </c>
      <c r="BT233" s="127" t="s">
        <v>188</v>
      </c>
      <c r="BU233" s="127" t="s">
        <v>876</v>
      </c>
      <c r="BV233" s="127" t="s">
        <v>188</v>
      </c>
      <c r="BW233" s="127" t="s">
        <v>191</v>
      </c>
      <c r="BX233" s="127" t="s">
        <v>961</v>
      </c>
      <c r="BY233" s="127" t="s">
        <v>378</v>
      </c>
      <c r="BZ233" s="127" t="s">
        <v>962</v>
      </c>
    </row>
    <row r="234" spans="2:78" s="121" customFormat="1" outlineLevel="2">
      <c r="B234" s="121" t="s">
        <v>859</v>
      </c>
      <c r="C234" s="121" t="s">
        <v>1065</v>
      </c>
      <c r="D234" s="107"/>
      <c r="F234" s="107" t="s">
        <v>473</v>
      </c>
      <c r="G234" s="107" t="s">
        <v>199</v>
      </c>
      <c r="H234" s="122" t="s">
        <v>1148</v>
      </c>
      <c r="I234" s="124"/>
      <c r="J234" s="124"/>
      <c r="K234" s="124" t="s">
        <v>1149</v>
      </c>
      <c r="L234" s="124" t="s">
        <v>956</v>
      </c>
      <c r="M234" s="125" t="s">
        <v>183</v>
      </c>
      <c r="N234" s="124"/>
      <c r="O234" s="127"/>
      <c r="P234" s="127"/>
      <c r="Q234" s="127"/>
      <c r="R234" s="127"/>
      <c r="S234" s="127"/>
      <c r="T234" s="130">
        <v>200</v>
      </c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/>
      <c r="BJ234" s="127"/>
      <c r="BK234" s="127"/>
      <c r="BL234" s="127"/>
      <c r="BM234" s="127"/>
      <c r="BN234" s="127"/>
      <c r="BO234" s="127"/>
      <c r="BP234" s="127"/>
      <c r="BQ234" s="127"/>
      <c r="BR234" s="127"/>
      <c r="BS234" s="127"/>
      <c r="BT234" s="127"/>
      <c r="BU234" s="127"/>
      <c r="BV234" s="127"/>
      <c r="BW234" s="127"/>
      <c r="BX234" s="127"/>
      <c r="BY234" s="127"/>
      <c r="BZ234" s="127"/>
    </row>
    <row r="235" spans="2:78" s="121" customFormat="1" outlineLevel="2">
      <c r="B235" s="121" t="s">
        <v>1019</v>
      </c>
      <c r="C235" s="121" t="s">
        <v>1065</v>
      </c>
      <c r="D235" s="102" t="s">
        <v>195</v>
      </c>
      <c r="F235" s="107" t="s">
        <v>178</v>
      </c>
      <c r="G235" s="107"/>
      <c r="H235" s="122" t="s">
        <v>1020</v>
      </c>
      <c r="I235" s="145" t="s">
        <v>1021</v>
      </c>
      <c r="J235" s="129"/>
      <c r="K235" s="124" t="s">
        <v>1150</v>
      </c>
      <c r="L235" s="124" t="s">
        <v>863</v>
      </c>
      <c r="M235" s="125" t="s">
        <v>249</v>
      </c>
      <c r="N235" s="124">
        <f>SUM(O235:BO235)</f>
        <v>16800</v>
      </c>
      <c r="O235" s="127"/>
      <c r="P235" s="127"/>
      <c r="Q235" s="127"/>
      <c r="R235" s="127"/>
      <c r="S235" s="127"/>
      <c r="T235" s="127"/>
      <c r="U235" s="130">
        <v>1200</v>
      </c>
      <c r="V235" s="127"/>
      <c r="W235" s="130">
        <v>2400</v>
      </c>
      <c r="X235" s="130">
        <v>1200</v>
      </c>
      <c r="Y235" s="127"/>
      <c r="Z235" s="127"/>
      <c r="AA235" s="127"/>
      <c r="AB235" s="127"/>
      <c r="AC235" s="127"/>
      <c r="AD235" s="127"/>
      <c r="AE235" s="127"/>
      <c r="AF235" s="130">
        <v>1200</v>
      </c>
      <c r="AG235" s="127"/>
      <c r="AH235" s="130">
        <v>1200</v>
      </c>
      <c r="AI235" s="127"/>
      <c r="AJ235" s="130">
        <v>1200</v>
      </c>
      <c r="AK235" s="127"/>
      <c r="AL235" s="127"/>
      <c r="AM235" s="127"/>
      <c r="AN235" s="127"/>
      <c r="AO235" s="127"/>
      <c r="AP235" s="127"/>
      <c r="AQ235" s="127"/>
      <c r="AR235" s="130">
        <v>1200</v>
      </c>
      <c r="AS235" s="130">
        <v>1200</v>
      </c>
      <c r="AT235" s="130">
        <v>1200</v>
      </c>
      <c r="AU235" s="127"/>
      <c r="AV235" s="127"/>
      <c r="AW235" s="127"/>
      <c r="AX235" s="130">
        <v>1200</v>
      </c>
      <c r="AY235" s="130">
        <v>1200</v>
      </c>
      <c r="AZ235" s="127"/>
      <c r="BA235" s="127"/>
      <c r="BB235" s="127"/>
      <c r="BC235" s="130">
        <v>1200</v>
      </c>
      <c r="BD235" s="127"/>
      <c r="BE235" s="127"/>
      <c r="BF235" s="127"/>
      <c r="BG235" s="127"/>
      <c r="BH235" s="130">
        <v>1200</v>
      </c>
      <c r="BI235" s="127"/>
      <c r="BJ235" s="127"/>
      <c r="BK235" s="127"/>
      <c r="BL235" s="127"/>
      <c r="BM235" s="127"/>
      <c r="BN235" s="127"/>
      <c r="BO235" s="127"/>
      <c r="BP235" s="127"/>
      <c r="BQ235" s="127"/>
      <c r="BR235" s="127"/>
      <c r="BS235" s="127"/>
      <c r="BT235" s="127"/>
      <c r="BU235" s="127"/>
      <c r="BV235" s="127"/>
      <c r="BW235" s="127"/>
      <c r="BX235" s="127"/>
      <c r="BY235" s="127"/>
      <c r="BZ235" s="127"/>
    </row>
    <row r="236" spans="2:78" s="121" customFormat="1" outlineLevel="2">
      <c r="B236" s="121" t="s">
        <v>1019</v>
      </c>
      <c r="C236" s="121" t="s">
        <v>1065</v>
      </c>
      <c r="D236" s="102" t="s">
        <v>195</v>
      </c>
      <c r="F236" s="107" t="s">
        <v>178</v>
      </c>
      <c r="G236" s="107"/>
      <c r="H236" s="122" t="s">
        <v>1020</v>
      </c>
      <c r="I236" s="145" t="s">
        <v>1021</v>
      </c>
      <c r="J236" s="129"/>
      <c r="K236" s="124" t="s">
        <v>1151</v>
      </c>
      <c r="L236" s="124" t="s">
        <v>863</v>
      </c>
      <c r="M236" s="125" t="s">
        <v>249</v>
      </c>
      <c r="N236" s="124">
        <f>SUM(O236:BO236)</f>
        <v>14400</v>
      </c>
      <c r="O236" s="127"/>
      <c r="P236" s="127"/>
      <c r="Q236" s="127"/>
      <c r="R236" s="127"/>
      <c r="S236" s="127"/>
      <c r="T236" s="130">
        <v>1200</v>
      </c>
      <c r="U236" s="127"/>
      <c r="V236" s="127"/>
      <c r="W236" s="127"/>
      <c r="X236" s="127"/>
      <c r="Y236" s="130">
        <v>1200</v>
      </c>
      <c r="Z236" s="130">
        <v>1200</v>
      </c>
      <c r="AA236" s="130">
        <v>1200</v>
      </c>
      <c r="AB236" s="130">
        <v>1200</v>
      </c>
      <c r="AC236" s="127"/>
      <c r="AD236" s="127"/>
      <c r="AE236" s="127"/>
      <c r="AF236" s="127"/>
      <c r="AG236" s="130">
        <v>1200</v>
      </c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30">
        <v>1200</v>
      </c>
      <c r="AX236" s="130">
        <v>1200</v>
      </c>
      <c r="AY236" s="127"/>
      <c r="AZ236" s="127"/>
      <c r="BA236" s="130">
        <v>1200</v>
      </c>
      <c r="BB236" s="127"/>
      <c r="BC236" s="127"/>
      <c r="BD236" s="127"/>
      <c r="BE236" s="127"/>
      <c r="BF236" s="130">
        <v>1200</v>
      </c>
      <c r="BG236" s="127"/>
      <c r="BH236" s="127"/>
      <c r="BI236" s="127"/>
      <c r="BJ236" s="130">
        <v>1200</v>
      </c>
      <c r="BK236" s="130">
        <v>1200</v>
      </c>
      <c r="BL236" s="127"/>
      <c r="BM236" s="127"/>
      <c r="BN236" s="127"/>
      <c r="BO236" s="127"/>
      <c r="BP236" s="127"/>
      <c r="BQ236" s="127"/>
      <c r="BR236" s="127"/>
      <c r="BS236" s="127"/>
      <c r="BT236" s="127"/>
      <c r="BU236" s="127"/>
      <c r="BV236" s="127"/>
      <c r="BW236" s="127"/>
      <c r="BX236" s="127"/>
      <c r="BY236" s="127"/>
      <c r="BZ236" s="127"/>
    </row>
    <row r="237" spans="2:78" s="121" customFormat="1" outlineLevel="2">
      <c r="B237" s="121" t="s">
        <v>1019</v>
      </c>
      <c r="C237" s="121" t="s">
        <v>1065</v>
      </c>
      <c r="D237" s="102"/>
      <c r="F237" s="107" t="s">
        <v>473</v>
      </c>
      <c r="G237" s="107"/>
      <c r="H237" s="147" t="s">
        <v>1152</v>
      </c>
      <c r="I237" s="145"/>
      <c r="J237" s="129"/>
      <c r="K237" s="124"/>
      <c r="L237" s="124"/>
      <c r="M237" s="125" t="s">
        <v>183</v>
      </c>
      <c r="N237" s="124">
        <v>10000</v>
      </c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  <c r="BJ237" s="127"/>
      <c r="BK237" s="127"/>
      <c r="BL237" s="127"/>
      <c r="BM237" s="127"/>
      <c r="BN237" s="127"/>
      <c r="BO237" s="127"/>
      <c r="BP237" s="127"/>
      <c r="BQ237" s="127"/>
      <c r="BR237" s="127"/>
      <c r="BS237" s="127"/>
      <c r="BT237" s="127"/>
      <c r="BU237" s="127"/>
      <c r="BV237" s="127"/>
      <c r="BW237" s="127"/>
      <c r="BX237" s="127"/>
      <c r="BY237" s="127"/>
      <c r="BZ237" s="127"/>
    </row>
    <row r="238" spans="2:78" s="121" customFormat="1" outlineLevel="2">
      <c r="B238" s="121" t="s">
        <v>1019</v>
      </c>
      <c r="C238" s="121" t="s">
        <v>1065</v>
      </c>
      <c r="D238" s="102"/>
      <c r="F238" s="107" t="s">
        <v>473</v>
      </c>
      <c r="G238" s="107"/>
      <c r="H238" s="147" t="s">
        <v>1153</v>
      </c>
      <c r="I238" s="145"/>
      <c r="J238" s="129"/>
      <c r="K238" s="124"/>
      <c r="L238" s="124"/>
      <c r="M238" s="125" t="s">
        <v>183</v>
      </c>
      <c r="N238" s="124">
        <v>13000</v>
      </c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7"/>
      <c r="BD238" s="127"/>
      <c r="BE238" s="127"/>
      <c r="BF238" s="127"/>
      <c r="BG238" s="127"/>
      <c r="BH238" s="127"/>
      <c r="BI238" s="127"/>
      <c r="BJ238" s="127"/>
      <c r="BK238" s="127"/>
      <c r="BL238" s="127"/>
      <c r="BM238" s="127"/>
      <c r="BN238" s="127"/>
      <c r="BO238" s="127"/>
      <c r="BP238" s="127"/>
      <c r="BQ238" s="127"/>
      <c r="BR238" s="127"/>
      <c r="BS238" s="127"/>
      <c r="BT238" s="127"/>
      <c r="BU238" s="127"/>
      <c r="BV238" s="127"/>
      <c r="BW238" s="127"/>
      <c r="BX238" s="127"/>
      <c r="BY238" s="127"/>
      <c r="BZ238" s="127"/>
    </row>
    <row r="239" spans="2:78" s="139" customFormat="1" outlineLevel="1">
      <c r="C239" s="140" t="s">
        <v>1154</v>
      </c>
      <c r="H239" s="141"/>
      <c r="I239" s="141"/>
      <c r="J239" s="141"/>
      <c r="K239" s="141"/>
      <c r="L239" s="141"/>
      <c r="M239" s="142"/>
      <c r="N239" s="143">
        <f t="shared" ref="N239:BO239" si="25">SUBTOTAL(9,N218:N238)</f>
        <v>134405</v>
      </c>
      <c r="O239" s="144">
        <f t="shared" si="25"/>
        <v>3500</v>
      </c>
      <c r="P239" s="144">
        <f t="shared" si="25"/>
        <v>0</v>
      </c>
      <c r="Q239" s="144">
        <f t="shared" si="25"/>
        <v>2000</v>
      </c>
      <c r="R239" s="144">
        <f t="shared" si="25"/>
        <v>2000</v>
      </c>
      <c r="S239" s="144">
        <f t="shared" si="25"/>
        <v>2000</v>
      </c>
      <c r="T239" s="144">
        <f t="shared" si="25"/>
        <v>7600</v>
      </c>
      <c r="U239" s="144">
        <f t="shared" si="25"/>
        <v>3200</v>
      </c>
      <c r="V239" s="144">
        <f t="shared" si="25"/>
        <v>2000</v>
      </c>
      <c r="W239" s="144">
        <f t="shared" si="25"/>
        <v>4400</v>
      </c>
      <c r="X239" s="144">
        <f t="shared" si="25"/>
        <v>6700</v>
      </c>
      <c r="Y239" s="144">
        <f t="shared" si="25"/>
        <v>4200</v>
      </c>
      <c r="Z239" s="144">
        <f t="shared" si="25"/>
        <v>2200</v>
      </c>
      <c r="AA239" s="144">
        <f t="shared" si="25"/>
        <v>4600</v>
      </c>
      <c r="AB239" s="144">
        <f t="shared" si="25"/>
        <v>6300</v>
      </c>
      <c r="AC239" s="144">
        <f t="shared" si="25"/>
        <v>1000</v>
      </c>
      <c r="AD239" s="144">
        <f t="shared" si="25"/>
        <v>1000</v>
      </c>
      <c r="AE239" s="144">
        <f t="shared" si="25"/>
        <v>1000</v>
      </c>
      <c r="AF239" s="144">
        <f t="shared" si="25"/>
        <v>2200</v>
      </c>
      <c r="AG239" s="144">
        <f t="shared" si="25"/>
        <v>2200</v>
      </c>
      <c r="AH239" s="144">
        <f t="shared" si="25"/>
        <v>2200</v>
      </c>
      <c r="AI239" s="144">
        <f t="shared" si="25"/>
        <v>1000</v>
      </c>
      <c r="AJ239" s="144">
        <f t="shared" si="25"/>
        <v>2200</v>
      </c>
      <c r="AK239" s="144">
        <f t="shared" si="25"/>
        <v>1000</v>
      </c>
      <c r="AL239" s="144">
        <f t="shared" si="25"/>
        <v>1000</v>
      </c>
      <c r="AM239" s="144">
        <f t="shared" si="25"/>
        <v>1000</v>
      </c>
      <c r="AN239" s="144">
        <f t="shared" si="25"/>
        <v>1000</v>
      </c>
      <c r="AO239" s="144">
        <f t="shared" si="25"/>
        <v>4105</v>
      </c>
      <c r="AP239" s="144">
        <f t="shared" si="25"/>
        <v>1000</v>
      </c>
      <c r="AQ239" s="144">
        <f t="shared" si="25"/>
        <v>1000</v>
      </c>
      <c r="AR239" s="144">
        <f t="shared" si="25"/>
        <v>2200</v>
      </c>
      <c r="AS239" s="144">
        <f t="shared" si="25"/>
        <v>1200</v>
      </c>
      <c r="AT239" s="144">
        <f t="shared" si="25"/>
        <v>3900</v>
      </c>
      <c r="AU239" s="144">
        <f t="shared" si="25"/>
        <v>0</v>
      </c>
      <c r="AV239" s="144">
        <f t="shared" si="25"/>
        <v>2000</v>
      </c>
      <c r="AW239" s="144">
        <f t="shared" si="25"/>
        <v>1200</v>
      </c>
      <c r="AX239" s="144">
        <f t="shared" si="25"/>
        <v>4400</v>
      </c>
      <c r="AY239" s="144">
        <f t="shared" si="25"/>
        <v>3200</v>
      </c>
      <c r="AZ239" s="144">
        <f t="shared" si="25"/>
        <v>1000</v>
      </c>
      <c r="BA239" s="144">
        <f t="shared" si="25"/>
        <v>3200</v>
      </c>
      <c r="BB239" s="144">
        <f t="shared" si="25"/>
        <v>3200</v>
      </c>
      <c r="BC239" s="144">
        <f t="shared" si="25"/>
        <v>3200</v>
      </c>
      <c r="BD239" s="144">
        <f t="shared" si="25"/>
        <v>1200</v>
      </c>
      <c r="BE239" s="144">
        <f t="shared" si="25"/>
        <v>1000</v>
      </c>
      <c r="BF239" s="144">
        <f t="shared" si="25"/>
        <v>2400</v>
      </c>
      <c r="BG239" s="144">
        <f t="shared" si="25"/>
        <v>1100</v>
      </c>
      <c r="BH239" s="144">
        <f t="shared" si="25"/>
        <v>1200</v>
      </c>
      <c r="BI239" s="144">
        <f t="shared" si="25"/>
        <v>0</v>
      </c>
      <c r="BJ239" s="144">
        <f t="shared" si="25"/>
        <v>1200</v>
      </c>
      <c r="BK239" s="144">
        <f t="shared" si="25"/>
        <v>1200</v>
      </c>
      <c r="BL239" s="144">
        <f t="shared" si="25"/>
        <v>0</v>
      </c>
      <c r="BM239" s="144">
        <f t="shared" si="25"/>
        <v>0</v>
      </c>
      <c r="BN239" s="144">
        <f t="shared" si="25"/>
        <v>0</v>
      </c>
      <c r="BO239" s="144">
        <f t="shared" si="25"/>
        <v>0</v>
      </c>
      <c r="BP239" s="144"/>
      <c r="BQ239" s="144"/>
      <c r="BR239" s="144"/>
      <c r="BS239" s="144"/>
      <c r="BT239" s="144"/>
      <c r="BU239" s="144"/>
      <c r="BV239" s="144"/>
      <c r="BW239" s="144"/>
      <c r="BX239" s="144"/>
      <c r="BY239" s="144"/>
      <c r="BZ239" s="144">
        <f>SUBTOTAL(9,BZ218:BZ228)</f>
        <v>0</v>
      </c>
    </row>
    <row r="240" spans="2:78" s="121" customFormat="1" outlineLevel="2">
      <c r="B240" s="121" t="s">
        <v>1019</v>
      </c>
      <c r="C240" s="121" t="s">
        <v>1155</v>
      </c>
      <c r="F240" s="121" t="s">
        <v>473</v>
      </c>
      <c r="H240" s="122" t="s">
        <v>1107</v>
      </c>
      <c r="I240" s="123" t="s">
        <v>972</v>
      </c>
      <c r="J240" s="124"/>
      <c r="K240" s="124" t="s">
        <v>1108</v>
      </c>
      <c r="L240" s="124" t="s">
        <v>881</v>
      </c>
      <c r="M240" s="125" t="s">
        <v>183</v>
      </c>
      <c r="N240" s="126">
        <f>SUM(O240:BO240)</f>
        <v>15000</v>
      </c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>
        <v>1000</v>
      </c>
      <c r="Z240" s="127">
        <v>1000</v>
      </c>
      <c r="AA240" s="127">
        <v>1000</v>
      </c>
      <c r="AB240" s="127">
        <v>1000</v>
      </c>
      <c r="AC240" s="127">
        <v>1000</v>
      </c>
      <c r="AD240" s="127">
        <v>1000</v>
      </c>
      <c r="AE240" s="127">
        <v>1000</v>
      </c>
      <c r="AF240" s="127">
        <v>1000</v>
      </c>
      <c r="AG240" s="127">
        <v>1000</v>
      </c>
      <c r="AH240" s="127">
        <v>1000</v>
      </c>
      <c r="AI240" s="127">
        <v>1000</v>
      </c>
      <c r="AJ240" s="127">
        <v>1000</v>
      </c>
      <c r="AK240" s="127">
        <v>1000</v>
      </c>
      <c r="AL240" s="127">
        <v>1000</v>
      </c>
      <c r="AM240" s="127">
        <v>1000</v>
      </c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  <c r="BG240" s="127">
        <v>0</v>
      </c>
      <c r="BH240" s="127"/>
      <c r="BI240" s="127"/>
      <c r="BJ240" s="127"/>
      <c r="BK240" s="127">
        <v>0</v>
      </c>
      <c r="BL240" s="127"/>
      <c r="BM240" s="127"/>
      <c r="BN240" s="127"/>
      <c r="BO240" s="127"/>
      <c r="BP240" s="127" t="s">
        <v>1109</v>
      </c>
      <c r="BQ240" s="127" t="s">
        <v>915</v>
      </c>
      <c r="BR240" s="127" t="s">
        <v>1110</v>
      </c>
      <c r="BS240" s="127" t="s">
        <v>1111</v>
      </c>
      <c r="BT240" s="127" t="s">
        <v>188</v>
      </c>
      <c r="BU240" s="127" t="s">
        <v>189</v>
      </c>
      <c r="BV240" s="127" t="s">
        <v>190</v>
      </c>
      <c r="BW240" s="127" t="s">
        <v>191</v>
      </c>
      <c r="BX240" s="127" t="s">
        <v>1112</v>
      </c>
      <c r="BY240" s="127" t="s">
        <v>1113</v>
      </c>
      <c r="BZ240" s="128" t="s">
        <v>1114</v>
      </c>
    </row>
    <row r="241" spans="2:78" s="139" customFormat="1" outlineLevel="1">
      <c r="C241" s="140" t="s">
        <v>1156</v>
      </c>
      <c r="H241" s="141"/>
      <c r="I241" s="141"/>
      <c r="J241" s="141"/>
      <c r="K241" s="141"/>
      <c r="L241" s="141"/>
      <c r="M241" s="142"/>
      <c r="N241" s="143">
        <f t="shared" ref="N241:BO241" si="26">SUBTOTAL(9,N240:N240)</f>
        <v>15000</v>
      </c>
      <c r="O241" s="144">
        <f t="shared" si="26"/>
        <v>0</v>
      </c>
      <c r="P241" s="144">
        <f t="shared" si="26"/>
        <v>0</v>
      </c>
      <c r="Q241" s="144">
        <f t="shared" si="26"/>
        <v>0</v>
      </c>
      <c r="R241" s="144">
        <f t="shared" si="26"/>
        <v>0</v>
      </c>
      <c r="S241" s="144">
        <f t="shared" si="26"/>
        <v>0</v>
      </c>
      <c r="T241" s="144">
        <f t="shared" si="26"/>
        <v>0</v>
      </c>
      <c r="U241" s="144">
        <f t="shared" si="26"/>
        <v>0</v>
      </c>
      <c r="V241" s="144">
        <f t="shared" si="26"/>
        <v>0</v>
      </c>
      <c r="W241" s="144">
        <f t="shared" si="26"/>
        <v>0</v>
      </c>
      <c r="X241" s="144">
        <f t="shared" si="26"/>
        <v>0</v>
      </c>
      <c r="Y241" s="144">
        <f t="shared" si="26"/>
        <v>1000</v>
      </c>
      <c r="Z241" s="144">
        <f t="shared" si="26"/>
        <v>1000</v>
      </c>
      <c r="AA241" s="144">
        <f t="shared" si="26"/>
        <v>1000</v>
      </c>
      <c r="AB241" s="144">
        <f t="shared" si="26"/>
        <v>1000</v>
      </c>
      <c r="AC241" s="144">
        <f t="shared" si="26"/>
        <v>1000</v>
      </c>
      <c r="AD241" s="144">
        <f t="shared" si="26"/>
        <v>1000</v>
      </c>
      <c r="AE241" s="144">
        <f t="shared" si="26"/>
        <v>1000</v>
      </c>
      <c r="AF241" s="144">
        <f t="shared" si="26"/>
        <v>1000</v>
      </c>
      <c r="AG241" s="144">
        <f t="shared" si="26"/>
        <v>1000</v>
      </c>
      <c r="AH241" s="144">
        <f t="shared" si="26"/>
        <v>1000</v>
      </c>
      <c r="AI241" s="144">
        <f t="shared" si="26"/>
        <v>1000</v>
      </c>
      <c r="AJ241" s="144">
        <f t="shared" si="26"/>
        <v>1000</v>
      </c>
      <c r="AK241" s="144">
        <f t="shared" si="26"/>
        <v>1000</v>
      </c>
      <c r="AL241" s="144">
        <f t="shared" si="26"/>
        <v>1000</v>
      </c>
      <c r="AM241" s="144">
        <f t="shared" si="26"/>
        <v>1000</v>
      </c>
      <c r="AN241" s="144">
        <f t="shared" si="26"/>
        <v>0</v>
      </c>
      <c r="AO241" s="144">
        <f t="shared" si="26"/>
        <v>0</v>
      </c>
      <c r="AP241" s="144">
        <f t="shared" si="26"/>
        <v>0</v>
      </c>
      <c r="AQ241" s="144">
        <f t="shared" si="26"/>
        <v>0</v>
      </c>
      <c r="AR241" s="144">
        <f t="shared" si="26"/>
        <v>0</v>
      </c>
      <c r="AS241" s="144">
        <f t="shared" si="26"/>
        <v>0</v>
      </c>
      <c r="AT241" s="144">
        <f t="shared" si="26"/>
        <v>0</v>
      </c>
      <c r="AU241" s="144">
        <f t="shared" si="26"/>
        <v>0</v>
      </c>
      <c r="AV241" s="144">
        <f t="shared" si="26"/>
        <v>0</v>
      </c>
      <c r="AW241" s="144">
        <f t="shared" si="26"/>
        <v>0</v>
      </c>
      <c r="AX241" s="144">
        <f t="shared" si="26"/>
        <v>0</v>
      </c>
      <c r="AY241" s="144">
        <f t="shared" si="26"/>
        <v>0</v>
      </c>
      <c r="AZ241" s="144">
        <f t="shared" si="26"/>
        <v>0</v>
      </c>
      <c r="BA241" s="144">
        <f t="shared" si="26"/>
        <v>0</v>
      </c>
      <c r="BB241" s="144">
        <f t="shared" si="26"/>
        <v>0</v>
      </c>
      <c r="BC241" s="144">
        <f t="shared" si="26"/>
        <v>0</v>
      </c>
      <c r="BD241" s="144">
        <f t="shared" si="26"/>
        <v>0</v>
      </c>
      <c r="BE241" s="144">
        <f t="shared" si="26"/>
        <v>0</v>
      </c>
      <c r="BF241" s="144">
        <f t="shared" si="26"/>
        <v>0</v>
      </c>
      <c r="BG241" s="144">
        <f t="shared" si="26"/>
        <v>0</v>
      </c>
      <c r="BH241" s="144">
        <f t="shared" si="26"/>
        <v>0</v>
      </c>
      <c r="BI241" s="144">
        <f t="shared" si="26"/>
        <v>0</v>
      </c>
      <c r="BJ241" s="144">
        <f t="shared" si="26"/>
        <v>0</v>
      </c>
      <c r="BK241" s="144">
        <f t="shared" si="26"/>
        <v>0</v>
      </c>
      <c r="BL241" s="144">
        <f t="shared" si="26"/>
        <v>0</v>
      </c>
      <c r="BM241" s="144">
        <f t="shared" si="26"/>
        <v>0</v>
      </c>
      <c r="BN241" s="144">
        <f t="shared" si="26"/>
        <v>0</v>
      </c>
      <c r="BO241" s="144">
        <f t="shared" si="26"/>
        <v>0</v>
      </c>
      <c r="BP241" s="144"/>
      <c r="BQ241" s="144"/>
      <c r="BR241" s="144"/>
      <c r="BS241" s="144"/>
      <c r="BT241" s="144"/>
      <c r="BU241" s="144"/>
      <c r="BV241" s="144"/>
      <c r="BW241" s="144"/>
      <c r="BX241" s="144"/>
      <c r="BY241" s="144"/>
      <c r="BZ241" s="144">
        <f>SUBTOTAL(9,BZ240:BZ240)</f>
        <v>0</v>
      </c>
    </row>
    <row r="242" spans="2:78" s="121" customFormat="1" outlineLevel="2">
      <c r="B242" s="121" t="s">
        <v>849</v>
      </c>
      <c r="C242" s="121" t="s">
        <v>1157</v>
      </c>
      <c r="F242" s="121" t="s">
        <v>89</v>
      </c>
      <c r="G242" s="121" t="s">
        <v>199</v>
      </c>
      <c r="H242" s="122" t="s">
        <v>1158</v>
      </c>
      <c r="I242" s="124"/>
      <c r="J242" s="124"/>
      <c r="K242" s="124" t="s">
        <v>1159</v>
      </c>
      <c r="L242" s="124"/>
      <c r="M242" s="125" t="s">
        <v>183</v>
      </c>
      <c r="N242" s="126">
        <f>SUM(O242:BO242)</f>
        <v>1300</v>
      </c>
      <c r="O242" s="127"/>
      <c r="P242" s="130">
        <v>1300</v>
      </c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  <c r="BO242" s="127"/>
      <c r="BP242" s="127"/>
      <c r="BQ242" s="127"/>
      <c r="BR242" s="127"/>
      <c r="BS242" s="127"/>
      <c r="BT242" s="127"/>
      <c r="BU242" s="127"/>
      <c r="BV242" s="127"/>
      <c r="BW242" s="127"/>
      <c r="BX242" s="127"/>
      <c r="BY242" s="127"/>
      <c r="BZ242" s="131"/>
    </row>
    <row r="243" spans="2:78" s="139" customFormat="1" outlineLevel="1">
      <c r="C243" s="140" t="s">
        <v>1160</v>
      </c>
      <c r="H243" s="141"/>
      <c r="I243" s="141"/>
      <c r="J243" s="141"/>
      <c r="K243" s="141"/>
      <c r="L243" s="141"/>
      <c r="M243" s="142"/>
      <c r="N243" s="143">
        <f>SUBTOTAL(9,N242:N242)</f>
        <v>1300</v>
      </c>
      <c r="O243" s="144">
        <f>SUBTOTAL(9,O242)</f>
        <v>0</v>
      </c>
      <c r="P243" s="144">
        <f t="shared" ref="P243:BO243" si="27">SUBTOTAL(9,P242)</f>
        <v>1300</v>
      </c>
      <c r="Q243" s="144">
        <f t="shared" si="27"/>
        <v>0</v>
      </c>
      <c r="R243" s="144">
        <f t="shared" si="27"/>
        <v>0</v>
      </c>
      <c r="S243" s="144">
        <f t="shared" si="27"/>
        <v>0</v>
      </c>
      <c r="T243" s="144">
        <f t="shared" si="27"/>
        <v>0</v>
      </c>
      <c r="U243" s="144">
        <f t="shared" si="27"/>
        <v>0</v>
      </c>
      <c r="V243" s="144">
        <f t="shared" si="27"/>
        <v>0</v>
      </c>
      <c r="W243" s="144">
        <f t="shared" si="27"/>
        <v>0</v>
      </c>
      <c r="X243" s="144">
        <f t="shared" si="27"/>
        <v>0</v>
      </c>
      <c r="Y243" s="144">
        <f t="shared" si="27"/>
        <v>0</v>
      </c>
      <c r="Z243" s="144">
        <f t="shared" si="27"/>
        <v>0</v>
      </c>
      <c r="AA243" s="144">
        <f t="shared" si="27"/>
        <v>0</v>
      </c>
      <c r="AB243" s="144">
        <f t="shared" si="27"/>
        <v>0</v>
      </c>
      <c r="AC243" s="144">
        <f t="shared" si="27"/>
        <v>0</v>
      </c>
      <c r="AD243" s="144">
        <f t="shared" si="27"/>
        <v>0</v>
      </c>
      <c r="AE243" s="144">
        <f t="shared" si="27"/>
        <v>0</v>
      </c>
      <c r="AF243" s="144">
        <f t="shared" si="27"/>
        <v>0</v>
      </c>
      <c r="AG243" s="144">
        <f t="shared" si="27"/>
        <v>0</v>
      </c>
      <c r="AH243" s="144">
        <f t="shared" si="27"/>
        <v>0</v>
      </c>
      <c r="AI243" s="144">
        <f t="shared" si="27"/>
        <v>0</v>
      </c>
      <c r="AJ243" s="144">
        <f t="shared" si="27"/>
        <v>0</v>
      </c>
      <c r="AK243" s="144">
        <f t="shared" si="27"/>
        <v>0</v>
      </c>
      <c r="AL243" s="144">
        <f t="shared" si="27"/>
        <v>0</v>
      </c>
      <c r="AM243" s="144">
        <f t="shared" si="27"/>
        <v>0</v>
      </c>
      <c r="AN243" s="144">
        <f t="shared" si="27"/>
        <v>0</v>
      </c>
      <c r="AO243" s="144">
        <f t="shared" si="27"/>
        <v>0</v>
      </c>
      <c r="AP243" s="144">
        <f t="shared" si="27"/>
        <v>0</v>
      </c>
      <c r="AQ243" s="144">
        <f t="shared" si="27"/>
        <v>0</v>
      </c>
      <c r="AR243" s="144">
        <f t="shared" si="27"/>
        <v>0</v>
      </c>
      <c r="AS243" s="144">
        <f t="shared" si="27"/>
        <v>0</v>
      </c>
      <c r="AT243" s="144">
        <f t="shared" si="27"/>
        <v>0</v>
      </c>
      <c r="AU243" s="144">
        <f t="shared" si="27"/>
        <v>0</v>
      </c>
      <c r="AV243" s="144">
        <f t="shared" si="27"/>
        <v>0</v>
      </c>
      <c r="AW243" s="144">
        <f t="shared" si="27"/>
        <v>0</v>
      </c>
      <c r="AX243" s="144">
        <f t="shared" si="27"/>
        <v>0</v>
      </c>
      <c r="AY243" s="144">
        <f t="shared" si="27"/>
        <v>0</v>
      </c>
      <c r="AZ243" s="144">
        <f t="shared" si="27"/>
        <v>0</v>
      </c>
      <c r="BA243" s="144">
        <f t="shared" si="27"/>
        <v>0</v>
      </c>
      <c r="BB243" s="144">
        <f t="shared" si="27"/>
        <v>0</v>
      </c>
      <c r="BC243" s="144">
        <f t="shared" si="27"/>
        <v>0</v>
      </c>
      <c r="BD243" s="144">
        <f t="shared" si="27"/>
        <v>0</v>
      </c>
      <c r="BE243" s="144">
        <f t="shared" si="27"/>
        <v>0</v>
      </c>
      <c r="BF243" s="144">
        <f t="shared" si="27"/>
        <v>0</v>
      </c>
      <c r="BG243" s="144">
        <f t="shared" si="27"/>
        <v>0</v>
      </c>
      <c r="BH243" s="144">
        <f t="shared" si="27"/>
        <v>0</v>
      </c>
      <c r="BI243" s="144">
        <f t="shared" si="27"/>
        <v>0</v>
      </c>
      <c r="BJ243" s="144">
        <f t="shared" si="27"/>
        <v>0</v>
      </c>
      <c r="BK243" s="144">
        <f t="shared" si="27"/>
        <v>0</v>
      </c>
      <c r="BL243" s="144">
        <f t="shared" si="27"/>
        <v>0</v>
      </c>
      <c r="BM243" s="144">
        <f t="shared" si="27"/>
        <v>0</v>
      </c>
      <c r="BN243" s="144">
        <f t="shared" si="27"/>
        <v>0</v>
      </c>
      <c r="BO243" s="144">
        <f t="shared" si="27"/>
        <v>0</v>
      </c>
      <c r="BP243" s="144"/>
      <c r="BQ243" s="144"/>
      <c r="BR243" s="144"/>
      <c r="BS243" s="144"/>
      <c r="BT243" s="144"/>
      <c r="BU243" s="144"/>
      <c r="BV243" s="144"/>
      <c r="BW243" s="144"/>
      <c r="BX243" s="144"/>
      <c r="BY243" s="144"/>
      <c r="BZ243" s="144" t="e">
        <f>SUBTOTAL(9,#REF!)</f>
        <v>#REF!</v>
      </c>
    </row>
    <row r="244" spans="2:78" s="121" customFormat="1" outlineLevel="2">
      <c r="B244" s="121" t="s">
        <v>849</v>
      </c>
      <c r="C244" s="121" t="s">
        <v>1161</v>
      </c>
      <c r="F244" s="121" t="s">
        <v>89</v>
      </c>
      <c r="G244" s="121" t="s">
        <v>199</v>
      </c>
      <c r="H244" s="122" t="s">
        <v>1162</v>
      </c>
      <c r="I244" s="124" t="s">
        <v>436</v>
      </c>
      <c r="J244" s="124"/>
      <c r="K244" s="124" t="s">
        <v>1163</v>
      </c>
      <c r="L244" s="124" t="s">
        <v>1164</v>
      </c>
      <c r="M244" s="125" t="s">
        <v>183</v>
      </c>
      <c r="N244" s="126">
        <f>SUM(O244:BO244)</f>
        <v>2000</v>
      </c>
      <c r="O244" s="127">
        <v>0</v>
      </c>
      <c r="P244" s="127"/>
      <c r="Q244" s="127"/>
      <c r="R244" s="127"/>
      <c r="S244" s="127"/>
      <c r="T244" s="127">
        <v>1000</v>
      </c>
      <c r="U244" s="127">
        <v>1000</v>
      </c>
      <c r="V244" s="127"/>
      <c r="W244" s="127"/>
      <c r="X244" s="127">
        <v>0</v>
      </c>
      <c r="Y244" s="127"/>
      <c r="Z244" s="127"/>
      <c r="AA244" s="127"/>
      <c r="AB244" s="127">
        <v>0</v>
      </c>
      <c r="AC244" s="127"/>
      <c r="AD244" s="127"/>
      <c r="AE244" s="127"/>
      <c r="AF244" s="127"/>
      <c r="AG244" s="127">
        <v>0</v>
      </c>
      <c r="AH244" s="127"/>
      <c r="AI244" s="127"/>
      <c r="AJ244" s="127"/>
      <c r="AK244" s="127">
        <v>0</v>
      </c>
      <c r="AL244" s="127"/>
      <c r="AM244" s="127"/>
      <c r="AN244" s="127"/>
      <c r="AO244" s="127">
        <v>0</v>
      </c>
      <c r="AP244" s="127"/>
      <c r="AQ244" s="127"/>
      <c r="AR244" s="127"/>
      <c r="AS244" s="127"/>
      <c r="AT244" s="127">
        <v>0</v>
      </c>
      <c r="AU244" s="127"/>
      <c r="AV244" s="127"/>
      <c r="AW244" s="127"/>
      <c r="AX244" s="127">
        <v>0</v>
      </c>
      <c r="AY244" s="127"/>
      <c r="AZ244" s="127"/>
      <c r="BA244" s="127"/>
      <c r="BB244" s="127"/>
      <c r="BC244" s="127"/>
      <c r="BD244" s="127"/>
      <c r="BE244" s="127"/>
      <c r="BF244" s="127"/>
      <c r="BG244" s="127">
        <v>0</v>
      </c>
      <c r="BH244" s="127"/>
      <c r="BI244" s="127"/>
      <c r="BJ244" s="127"/>
      <c r="BK244" s="127">
        <v>0</v>
      </c>
      <c r="BL244" s="127"/>
      <c r="BM244" s="127"/>
      <c r="BN244" s="127"/>
      <c r="BO244" s="127"/>
      <c r="BP244" s="127" t="s">
        <v>1165</v>
      </c>
      <c r="BQ244" s="127" t="s">
        <v>1166</v>
      </c>
      <c r="BR244" s="127" t="s">
        <v>1167</v>
      </c>
      <c r="BS244" s="127" t="s">
        <v>1168</v>
      </c>
      <c r="BT244" s="127" t="s">
        <v>188</v>
      </c>
      <c r="BU244" s="127" t="s">
        <v>189</v>
      </c>
      <c r="BV244" s="127" t="s">
        <v>205</v>
      </c>
      <c r="BW244" s="127" t="s">
        <v>191</v>
      </c>
      <c r="BX244" s="127" t="s">
        <v>1169</v>
      </c>
      <c r="BY244" s="127" t="s">
        <v>189</v>
      </c>
      <c r="BZ244" s="131" t="s">
        <v>1170</v>
      </c>
    </row>
    <row r="245" spans="2:78" s="139" customFormat="1" outlineLevel="1">
      <c r="C245" s="140" t="s">
        <v>1171</v>
      </c>
      <c r="H245" s="141"/>
      <c r="I245" s="141"/>
      <c r="J245" s="141"/>
      <c r="K245" s="141"/>
      <c r="L245" s="141"/>
      <c r="M245" s="142"/>
      <c r="N245" s="143">
        <f>SUBTOTAL(9,N244:N244)</f>
        <v>2000</v>
      </c>
      <c r="O245" s="144">
        <f>SUBTOTAL(9,O244:O244)</f>
        <v>0</v>
      </c>
      <c r="P245" s="144">
        <f t="shared" ref="P245:BO245" si="28">SUBTOTAL(9,P244:P244)</f>
        <v>0</v>
      </c>
      <c r="Q245" s="144">
        <f t="shared" si="28"/>
        <v>0</v>
      </c>
      <c r="R245" s="144">
        <f t="shared" si="28"/>
        <v>0</v>
      </c>
      <c r="S245" s="144">
        <f t="shared" si="28"/>
        <v>0</v>
      </c>
      <c r="T245" s="144">
        <f t="shared" si="28"/>
        <v>1000</v>
      </c>
      <c r="U245" s="144">
        <f t="shared" si="28"/>
        <v>1000</v>
      </c>
      <c r="V245" s="144">
        <f t="shared" si="28"/>
        <v>0</v>
      </c>
      <c r="W245" s="144">
        <f t="shared" si="28"/>
        <v>0</v>
      </c>
      <c r="X245" s="144">
        <f t="shared" si="28"/>
        <v>0</v>
      </c>
      <c r="Y245" s="144">
        <f t="shared" si="28"/>
        <v>0</v>
      </c>
      <c r="Z245" s="144">
        <f t="shared" si="28"/>
        <v>0</v>
      </c>
      <c r="AA245" s="144">
        <f t="shared" si="28"/>
        <v>0</v>
      </c>
      <c r="AB245" s="144">
        <f t="shared" si="28"/>
        <v>0</v>
      </c>
      <c r="AC245" s="144">
        <f t="shared" si="28"/>
        <v>0</v>
      </c>
      <c r="AD245" s="144">
        <f t="shared" si="28"/>
        <v>0</v>
      </c>
      <c r="AE245" s="144">
        <f t="shared" si="28"/>
        <v>0</v>
      </c>
      <c r="AF245" s="144">
        <f t="shared" si="28"/>
        <v>0</v>
      </c>
      <c r="AG245" s="144">
        <f t="shared" si="28"/>
        <v>0</v>
      </c>
      <c r="AH245" s="144">
        <f t="shared" si="28"/>
        <v>0</v>
      </c>
      <c r="AI245" s="144">
        <f t="shared" si="28"/>
        <v>0</v>
      </c>
      <c r="AJ245" s="144">
        <f t="shared" si="28"/>
        <v>0</v>
      </c>
      <c r="AK245" s="144">
        <f t="shared" si="28"/>
        <v>0</v>
      </c>
      <c r="AL245" s="144">
        <f t="shared" si="28"/>
        <v>0</v>
      </c>
      <c r="AM245" s="144">
        <f t="shared" si="28"/>
        <v>0</v>
      </c>
      <c r="AN245" s="144">
        <f t="shared" si="28"/>
        <v>0</v>
      </c>
      <c r="AO245" s="144">
        <f t="shared" si="28"/>
        <v>0</v>
      </c>
      <c r="AP245" s="144">
        <f t="shared" si="28"/>
        <v>0</v>
      </c>
      <c r="AQ245" s="144">
        <f t="shared" si="28"/>
        <v>0</v>
      </c>
      <c r="AR245" s="144">
        <f t="shared" si="28"/>
        <v>0</v>
      </c>
      <c r="AS245" s="144">
        <f t="shared" si="28"/>
        <v>0</v>
      </c>
      <c r="AT245" s="144">
        <f t="shared" si="28"/>
        <v>0</v>
      </c>
      <c r="AU245" s="144">
        <f t="shared" si="28"/>
        <v>0</v>
      </c>
      <c r="AV245" s="144">
        <f t="shared" si="28"/>
        <v>0</v>
      </c>
      <c r="AW245" s="144">
        <f t="shared" si="28"/>
        <v>0</v>
      </c>
      <c r="AX245" s="144">
        <f t="shared" si="28"/>
        <v>0</v>
      </c>
      <c r="AY245" s="144">
        <f t="shared" si="28"/>
        <v>0</v>
      </c>
      <c r="AZ245" s="144">
        <f t="shared" si="28"/>
        <v>0</v>
      </c>
      <c r="BA245" s="144">
        <f t="shared" si="28"/>
        <v>0</v>
      </c>
      <c r="BB245" s="144">
        <f t="shared" si="28"/>
        <v>0</v>
      </c>
      <c r="BC245" s="144">
        <f t="shared" si="28"/>
        <v>0</v>
      </c>
      <c r="BD245" s="144">
        <f t="shared" si="28"/>
        <v>0</v>
      </c>
      <c r="BE245" s="144">
        <f t="shared" si="28"/>
        <v>0</v>
      </c>
      <c r="BF245" s="144">
        <f t="shared" si="28"/>
        <v>0</v>
      </c>
      <c r="BG245" s="144">
        <f t="shared" si="28"/>
        <v>0</v>
      </c>
      <c r="BH245" s="144">
        <f t="shared" si="28"/>
        <v>0</v>
      </c>
      <c r="BI245" s="144">
        <f t="shared" si="28"/>
        <v>0</v>
      </c>
      <c r="BJ245" s="144">
        <f t="shared" si="28"/>
        <v>0</v>
      </c>
      <c r="BK245" s="144">
        <f t="shared" si="28"/>
        <v>0</v>
      </c>
      <c r="BL245" s="144">
        <f t="shared" si="28"/>
        <v>0</v>
      </c>
      <c r="BM245" s="144">
        <f t="shared" si="28"/>
        <v>0</v>
      </c>
      <c r="BN245" s="144">
        <f t="shared" si="28"/>
        <v>0</v>
      </c>
      <c r="BO245" s="144">
        <f t="shared" si="28"/>
        <v>0</v>
      </c>
      <c r="BP245" s="144"/>
      <c r="BQ245" s="144"/>
      <c r="BR245" s="144"/>
      <c r="BS245" s="144"/>
      <c r="BT245" s="144"/>
      <c r="BU245" s="144"/>
      <c r="BV245" s="144"/>
      <c r="BW245" s="144"/>
      <c r="BX245" s="144"/>
      <c r="BY245" s="144"/>
      <c r="BZ245" s="144">
        <f>SUBTOTAL(9,BZ244:BZ244)</f>
        <v>0</v>
      </c>
    </row>
    <row r="246" spans="2:78" s="121" customFormat="1" outlineLevel="2">
      <c r="B246" s="121" t="s">
        <v>849</v>
      </c>
      <c r="C246" s="121" t="s">
        <v>1172</v>
      </c>
      <c r="F246" s="107" t="s">
        <v>89</v>
      </c>
      <c r="G246" s="107" t="s">
        <v>388</v>
      </c>
      <c r="H246" s="124" t="s">
        <v>1173</v>
      </c>
      <c r="I246" s="124"/>
      <c r="J246" s="124"/>
      <c r="K246" s="124" t="s">
        <v>1174</v>
      </c>
      <c r="L246" s="124" t="s">
        <v>1175</v>
      </c>
      <c r="M246" s="125" t="s">
        <v>183</v>
      </c>
      <c r="N246" s="126">
        <f>SUM(O246:BO246)</f>
        <v>0</v>
      </c>
      <c r="O246" s="127">
        <v>0</v>
      </c>
      <c r="P246" s="127"/>
      <c r="Q246" s="127"/>
      <c r="R246" s="127"/>
      <c r="S246" s="127"/>
      <c r="T246" s="127">
        <v>0</v>
      </c>
      <c r="U246" s="127"/>
      <c r="V246" s="127"/>
      <c r="W246" s="127"/>
      <c r="X246" s="127">
        <v>0</v>
      </c>
      <c r="Y246" s="127"/>
      <c r="Z246" s="127"/>
      <c r="AA246" s="127"/>
      <c r="AB246" s="127">
        <v>0</v>
      </c>
      <c r="AC246" s="127"/>
      <c r="AD246" s="127"/>
      <c r="AE246" s="127"/>
      <c r="AF246" s="127"/>
      <c r="AG246" s="127">
        <v>0</v>
      </c>
      <c r="AH246" s="127"/>
      <c r="AI246" s="127"/>
      <c r="AJ246" s="127"/>
      <c r="AK246" s="127">
        <v>0</v>
      </c>
      <c r="AL246" s="127"/>
      <c r="AM246" s="127"/>
      <c r="AN246" s="127"/>
      <c r="AO246" s="127">
        <v>0</v>
      </c>
      <c r="AP246" s="127"/>
      <c r="AQ246" s="127"/>
      <c r="AR246" s="127"/>
      <c r="AS246" s="127"/>
      <c r="AT246" s="127">
        <v>0</v>
      </c>
      <c r="AU246" s="127"/>
      <c r="AV246" s="127"/>
      <c r="AW246" s="127"/>
      <c r="AX246" s="127">
        <v>0</v>
      </c>
      <c r="AY246" s="127"/>
      <c r="AZ246" s="127"/>
      <c r="BA246" s="127"/>
      <c r="BB246" s="127">
        <v>0</v>
      </c>
      <c r="BC246" s="127"/>
      <c r="BD246" s="127"/>
      <c r="BE246" s="127"/>
      <c r="BF246" s="127"/>
      <c r="BG246" s="127">
        <v>0</v>
      </c>
      <c r="BH246" s="127"/>
      <c r="BI246" s="127"/>
      <c r="BJ246" s="127"/>
      <c r="BK246" s="127">
        <v>0</v>
      </c>
      <c r="BL246" s="127"/>
      <c r="BM246" s="127"/>
      <c r="BN246" s="127"/>
      <c r="BO246" s="127"/>
      <c r="BP246" s="127" t="s">
        <v>1176</v>
      </c>
      <c r="BQ246" s="127" t="s">
        <v>189</v>
      </c>
      <c r="BR246" s="127" t="s">
        <v>189</v>
      </c>
      <c r="BS246" s="127" t="s">
        <v>189</v>
      </c>
      <c r="BT246" s="127" t="s">
        <v>188</v>
      </c>
      <c r="BU246" s="127" t="s">
        <v>189</v>
      </c>
      <c r="BV246" s="127" t="s">
        <v>188</v>
      </c>
      <c r="BW246" s="127" t="s">
        <v>191</v>
      </c>
      <c r="BX246" s="127" t="s">
        <v>1177</v>
      </c>
      <c r="BY246" s="127" t="s">
        <v>1178</v>
      </c>
      <c r="BZ246" s="128" t="s">
        <v>1179</v>
      </c>
    </row>
    <row r="247" spans="2:78" s="121" customFormat="1" ht="25.5" outlineLevel="2">
      <c r="B247" s="121" t="s">
        <v>849</v>
      </c>
      <c r="C247" s="121" t="s">
        <v>1172</v>
      </c>
      <c r="D247" s="107"/>
      <c r="F247" s="107" t="s">
        <v>89</v>
      </c>
      <c r="G247" s="160" t="s">
        <v>1180</v>
      </c>
      <c r="H247" s="122" t="s">
        <v>1181</v>
      </c>
      <c r="I247" s="124" t="s">
        <v>475</v>
      </c>
      <c r="J247" s="124"/>
      <c r="K247" s="124" t="s">
        <v>1182</v>
      </c>
      <c r="L247" s="124" t="s">
        <v>1175</v>
      </c>
      <c r="M247" s="125" t="s">
        <v>183</v>
      </c>
      <c r="N247" s="126">
        <f>SUM(O247:BO247)</f>
        <v>2000</v>
      </c>
      <c r="O247" s="127">
        <v>0</v>
      </c>
      <c r="P247" s="130">
        <v>2000</v>
      </c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>
        <v>0</v>
      </c>
      <c r="AL247" s="127"/>
      <c r="AM247" s="127"/>
      <c r="AN247" s="127"/>
      <c r="AO247" s="127">
        <v>0</v>
      </c>
      <c r="AP247" s="127"/>
      <c r="AQ247" s="127"/>
      <c r="AR247" s="127"/>
      <c r="AS247" s="127"/>
      <c r="AT247" s="127">
        <v>0</v>
      </c>
      <c r="AU247" s="127"/>
      <c r="AV247" s="127"/>
      <c r="AW247" s="127"/>
      <c r="AX247" s="127">
        <v>0</v>
      </c>
      <c r="AY247" s="127"/>
      <c r="AZ247" s="127"/>
      <c r="BA247" s="127"/>
      <c r="BB247" s="127">
        <v>0</v>
      </c>
      <c r="BC247" s="127"/>
      <c r="BD247" s="127"/>
      <c r="BE247" s="127"/>
      <c r="BF247" s="127"/>
      <c r="BG247" s="127">
        <v>0</v>
      </c>
      <c r="BH247" s="127"/>
      <c r="BI247" s="127"/>
      <c r="BJ247" s="127"/>
      <c r="BK247" s="127">
        <v>0</v>
      </c>
      <c r="BL247" s="127"/>
      <c r="BM247" s="127"/>
      <c r="BN247" s="127"/>
      <c r="BO247" s="127"/>
      <c r="BP247" s="127" t="s">
        <v>1183</v>
      </c>
      <c r="BQ247" s="127" t="s">
        <v>1184</v>
      </c>
      <c r="BR247" s="127" t="s">
        <v>1185</v>
      </c>
      <c r="BS247" s="127" t="s">
        <v>600</v>
      </c>
      <c r="BT247" s="127" t="s">
        <v>188</v>
      </c>
      <c r="BU247" s="127" t="s">
        <v>1186</v>
      </c>
      <c r="BV247" s="127" t="s">
        <v>205</v>
      </c>
      <c r="BW247" s="127" t="s">
        <v>191</v>
      </c>
      <c r="BX247" s="127" t="s">
        <v>1187</v>
      </c>
      <c r="BY247" s="127" t="s">
        <v>1188</v>
      </c>
      <c r="BZ247" s="131" t="s">
        <v>1189</v>
      </c>
    </row>
    <row r="248" spans="2:78" s="121" customFormat="1" outlineLevel="2">
      <c r="B248" s="121" t="s">
        <v>849</v>
      </c>
      <c r="C248" s="121" t="s">
        <v>1172</v>
      </c>
      <c r="F248" s="107" t="s">
        <v>89</v>
      </c>
      <c r="G248" s="107"/>
      <c r="H248" s="122" t="s">
        <v>1190</v>
      </c>
      <c r="I248" s="124"/>
      <c r="J248" s="124"/>
      <c r="K248" s="124" t="s">
        <v>1191</v>
      </c>
      <c r="L248" s="124" t="s">
        <v>1175</v>
      </c>
      <c r="M248" s="125" t="s">
        <v>183</v>
      </c>
      <c r="N248" s="156">
        <f>SUM(O248:BO248)</f>
        <v>2000</v>
      </c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>
        <v>1000</v>
      </c>
      <c r="AK248" s="127"/>
      <c r="AL248" s="127">
        <v>1000</v>
      </c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/>
      <c r="BH248" s="127"/>
      <c r="BI248" s="127"/>
      <c r="BJ248" s="127"/>
      <c r="BK248" s="127"/>
      <c r="BL248" s="127"/>
      <c r="BM248" s="127"/>
      <c r="BN248" s="127"/>
      <c r="BO248" s="127"/>
      <c r="BP248" s="146" t="s">
        <v>1192</v>
      </c>
      <c r="BQ248" s="146" t="s">
        <v>1193</v>
      </c>
      <c r="BR248" s="127"/>
      <c r="BS248" s="127"/>
      <c r="BT248" s="146" t="s">
        <v>188</v>
      </c>
      <c r="BU248" s="146" t="s">
        <v>1194</v>
      </c>
      <c r="BV248" s="146" t="s">
        <v>188</v>
      </c>
      <c r="BW248" s="146" t="s">
        <v>733</v>
      </c>
      <c r="BX248" s="146" t="s">
        <v>1195</v>
      </c>
      <c r="BY248" s="146" t="s">
        <v>1196</v>
      </c>
      <c r="BZ248" s="146" t="s">
        <v>1179</v>
      </c>
    </row>
    <row r="249" spans="2:78" s="121" customFormat="1" outlineLevel="2">
      <c r="B249" s="121" t="s">
        <v>849</v>
      </c>
      <c r="C249" s="121" t="s">
        <v>1172</v>
      </c>
      <c r="F249" s="149" t="s">
        <v>89</v>
      </c>
      <c r="G249" s="107" t="s">
        <v>199</v>
      </c>
      <c r="H249" s="122" t="s">
        <v>1197</v>
      </c>
      <c r="I249" s="124"/>
      <c r="J249" s="124"/>
      <c r="K249" s="124" t="s">
        <v>1191</v>
      </c>
      <c r="L249" s="124" t="s">
        <v>1175</v>
      </c>
      <c r="M249" s="125" t="s">
        <v>183</v>
      </c>
      <c r="N249" s="126">
        <f>SUM(O249:BO249)</f>
        <v>1250</v>
      </c>
      <c r="O249" s="127"/>
      <c r="P249" s="127"/>
      <c r="Q249" s="130">
        <v>500</v>
      </c>
      <c r="R249" s="127"/>
      <c r="S249" s="130">
        <v>750</v>
      </c>
      <c r="T249" s="127"/>
      <c r="U249" s="127"/>
      <c r="V249" s="127"/>
      <c r="W249" s="127"/>
      <c r="X249" s="127"/>
      <c r="Y249" s="127"/>
      <c r="Z249" s="127"/>
      <c r="AA249" s="127"/>
      <c r="AB249" s="127">
        <v>0</v>
      </c>
      <c r="AC249" s="127"/>
      <c r="AD249" s="127"/>
      <c r="AE249" s="127"/>
      <c r="AF249" s="127"/>
      <c r="AG249" s="127">
        <v>0</v>
      </c>
      <c r="AH249" s="127"/>
      <c r="AI249" s="127"/>
      <c r="AJ249" s="127"/>
      <c r="AK249" s="127">
        <v>0</v>
      </c>
      <c r="AL249" s="127"/>
      <c r="AM249" s="127"/>
      <c r="AN249" s="127"/>
      <c r="AO249" s="127">
        <v>0</v>
      </c>
      <c r="AP249" s="127"/>
      <c r="AQ249" s="127"/>
      <c r="AR249" s="127"/>
      <c r="AS249" s="127"/>
      <c r="AT249" s="127">
        <v>0</v>
      </c>
      <c r="AU249" s="127"/>
      <c r="AV249" s="127"/>
      <c r="AW249" s="127"/>
      <c r="AX249" s="127">
        <v>0</v>
      </c>
      <c r="AY249" s="127"/>
      <c r="AZ249" s="127"/>
      <c r="BA249" s="127"/>
      <c r="BB249" s="127">
        <v>0</v>
      </c>
      <c r="BC249" s="127"/>
      <c r="BD249" s="127"/>
      <c r="BE249" s="127"/>
      <c r="BF249" s="127"/>
      <c r="BG249" s="127">
        <v>0</v>
      </c>
      <c r="BH249" s="127"/>
      <c r="BI249" s="127"/>
      <c r="BJ249" s="127"/>
      <c r="BK249" s="127">
        <v>0</v>
      </c>
      <c r="BL249" s="127"/>
      <c r="BM249" s="127"/>
      <c r="BN249" s="127"/>
      <c r="BO249" s="127"/>
      <c r="BP249" s="127" t="s">
        <v>1198</v>
      </c>
      <c r="BQ249" s="127" t="s">
        <v>786</v>
      </c>
      <c r="BR249" s="127" t="s">
        <v>1199</v>
      </c>
      <c r="BS249" s="127" t="s">
        <v>1200</v>
      </c>
      <c r="BT249" s="127" t="s">
        <v>188</v>
      </c>
      <c r="BU249" s="127" t="s">
        <v>189</v>
      </c>
      <c r="BV249" s="127" t="s">
        <v>395</v>
      </c>
      <c r="BW249" s="127" t="s">
        <v>343</v>
      </c>
      <c r="BX249" s="127" t="s">
        <v>1201</v>
      </c>
      <c r="BY249" s="127" t="s">
        <v>189</v>
      </c>
      <c r="BZ249" s="127" t="s">
        <v>1202</v>
      </c>
    </row>
    <row r="250" spans="2:78" s="121" customFormat="1" outlineLevel="2">
      <c r="B250" s="121" t="s">
        <v>849</v>
      </c>
      <c r="C250" s="121" t="s">
        <v>1172</v>
      </c>
      <c r="F250" s="149" t="s">
        <v>89</v>
      </c>
      <c r="G250" s="107" t="s">
        <v>199</v>
      </c>
      <c r="H250" s="122" t="s">
        <v>1203</v>
      </c>
      <c r="I250" s="124"/>
      <c r="J250" s="124"/>
      <c r="K250" s="124" t="s">
        <v>1204</v>
      </c>
      <c r="L250" s="124" t="s">
        <v>1175</v>
      </c>
      <c r="M250" s="125" t="s">
        <v>183</v>
      </c>
      <c r="N250" s="126">
        <f>SUM(O250:BO250)</f>
        <v>200</v>
      </c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30">
        <v>200</v>
      </c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/>
      <c r="BK250" s="127"/>
      <c r="BL250" s="127"/>
      <c r="BM250" s="127"/>
      <c r="BN250" s="127"/>
      <c r="BO250" s="127"/>
      <c r="BP250" s="127"/>
      <c r="BQ250" s="127"/>
      <c r="BR250" s="127"/>
      <c r="BS250" s="127"/>
      <c r="BT250" s="127"/>
      <c r="BU250" s="127"/>
      <c r="BV250" s="127"/>
      <c r="BW250" s="127"/>
      <c r="BX250" s="127"/>
      <c r="BY250" s="127"/>
      <c r="BZ250" s="127"/>
    </row>
    <row r="251" spans="2:78" s="139" customFormat="1" outlineLevel="1">
      <c r="C251" s="140" t="s">
        <v>1205</v>
      </c>
      <c r="H251" s="141"/>
      <c r="I251" s="141"/>
      <c r="J251" s="141"/>
      <c r="K251" s="141"/>
      <c r="L251" s="141"/>
      <c r="M251" s="142"/>
      <c r="N251" s="143">
        <f>SUBTOTAL(9,N246:N249)</f>
        <v>5250</v>
      </c>
      <c r="O251" s="144">
        <f t="shared" ref="O251:BO251" si="29">SUBTOTAL(9,O246:O246)</f>
        <v>0</v>
      </c>
      <c r="P251" s="144">
        <f t="shared" si="29"/>
        <v>0</v>
      </c>
      <c r="Q251" s="144">
        <f t="shared" si="29"/>
        <v>0</v>
      </c>
      <c r="R251" s="144">
        <f t="shared" si="29"/>
        <v>0</v>
      </c>
      <c r="S251" s="144">
        <f t="shared" si="29"/>
        <v>0</v>
      </c>
      <c r="T251" s="144">
        <f t="shared" si="29"/>
        <v>0</v>
      </c>
      <c r="U251" s="144">
        <f t="shared" si="29"/>
        <v>0</v>
      </c>
      <c r="V251" s="144">
        <f t="shared" si="29"/>
        <v>0</v>
      </c>
      <c r="W251" s="144">
        <f t="shared" si="29"/>
        <v>0</v>
      </c>
      <c r="X251" s="144">
        <f t="shared" si="29"/>
        <v>0</v>
      </c>
      <c r="Y251" s="144">
        <f t="shared" si="29"/>
        <v>0</v>
      </c>
      <c r="Z251" s="144">
        <f t="shared" si="29"/>
        <v>0</v>
      </c>
      <c r="AA251" s="144">
        <f t="shared" si="29"/>
        <v>0</v>
      </c>
      <c r="AB251" s="144">
        <f t="shared" si="29"/>
        <v>0</v>
      </c>
      <c r="AC251" s="144">
        <f t="shared" si="29"/>
        <v>0</v>
      </c>
      <c r="AD251" s="144">
        <f t="shared" si="29"/>
        <v>0</v>
      </c>
      <c r="AE251" s="144">
        <f t="shared" si="29"/>
        <v>0</v>
      </c>
      <c r="AF251" s="144">
        <f t="shared" si="29"/>
        <v>0</v>
      </c>
      <c r="AG251" s="144">
        <f t="shared" si="29"/>
        <v>0</v>
      </c>
      <c r="AH251" s="144">
        <f t="shared" si="29"/>
        <v>0</v>
      </c>
      <c r="AI251" s="144">
        <f t="shared" si="29"/>
        <v>0</v>
      </c>
      <c r="AJ251" s="144">
        <f t="shared" si="29"/>
        <v>0</v>
      </c>
      <c r="AK251" s="144">
        <f t="shared" si="29"/>
        <v>0</v>
      </c>
      <c r="AL251" s="144">
        <f t="shared" si="29"/>
        <v>0</v>
      </c>
      <c r="AM251" s="144">
        <f t="shared" si="29"/>
        <v>0</v>
      </c>
      <c r="AN251" s="144">
        <f t="shared" si="29"/>
        <v>0</v>
      </c>
      <c r="AO251" s="144">
        <f t="shared" si="29"/>
        <v>0</v>
      </c>
      <c r="AP251" s="144">
        <f t="shared" si="29"/>
        <v>0</v>
      </c>
      <c r="AQ251" s="144">
        <f t="shared" si="29"/>
        <v>0</v>
      </c>
      <c r="AR251" s="144">
        <f t="shared" si="29"/>
        <v>0</v>
      </c>
      <c r="AS251" s="144">
        <f t="shared" si="29"/>
        <v>0</v>
      </c>
      <c r="AT251" s="144">
        <f t="shared" si="29"/>
        <v>0</v>
      </c>
      <c r="AU251" s="144">
        <f t="shared" si="29"/>
        <v>0</v>
      </c>
      <c r="AV251" s="144">
        <f t="shared" si="29"/>
        <v>0</v>
      </c>
      <c r="AW251" s="144">
        <f t="shared" si="29"/>
        <v>0</v>
      </c>
      <c r="AX251" s="144">
        <f t="shared" si="29"/>
        <v>0</v>
      </c>
      <c r="AY251" s="144">
        <f t="shared" si="29"/>
        <v>0</v>
      </c>
      <c r="AZ251" s="144">
        <f t="shared" si="29"/>
        <v>0</v>
      </c>
      <c r="BA251" s="144">
        <f t="shared" si="29"/>
        <v>0</v>
      </c>
      <c r="BB251" s="144">
        <f t="shared" si="29"/>
        <v>0</v>
      </c>
      <c r="BC251" s="144">
        <f t="shared" si="29"/>
        <v>0</v>
      </c>
      <c r="BD251" s="144">
        <f t="shared" si="29"/>
        <v>0</v>
      </c>
      <c r="BE251" s="144">
        <f t="shared" si="29"/>
        <v>0</v>
      </c>
      <c r="BF251" s="144">
        <f t="shared" si="29"/>
        <v>0</v>
      </c>
      <c r="BG251" s="144">
        <f t="shared" si="29"/>
        <v>0</v>
      </c>
      <c r="BH251" s="144">
        <f t="shared" si="29"/>
        <v>0</v>
      </c>
      <c r="BI251" s="144">
        <f t="shared" si="29"/>
        <v>0</v>
      </c>
      <c r="BJ251" s="144">
        <f t="shared" si="29"/>
        <v>0</v>
      </c>
      <c r="BK251" s="144">
        <f t="shared" si="29"/>
        <v>0</v>
      </c>
      <c r="BL251" s="144">
        <f t="shared" si="29"/>
        <v>0</v>
      </c>
      <c r="BM251" s="144">
        <f t="shared" si="29"/>
        <v>0</v>
      </c>
      <c r="BN251" s="144">
        <f t="shared" si="29"/>
        <v>0</v>
      </c>
      <c r="BO251" s="144">
        <f t="shared" si="29"/>
        <v>0</v>
      </c>
      <c r="BP251" s="144"/>
      <c r="BQ251" s="144"/>
      <c r="BR251" s="144"/>
      <c r="BS251" s="144"/>
      <c r="BT251" s="144"/>
      <c r="BU251" s="144"/>
      <c r="BV251" s="144"/>
      <c r="BW251" s="144"/>
      <c r="BX251" s="144"/>
      <c r="BY251" s="144"/>
      <c r="BZ251" s="144">
        <f>SUBTOTAL(9,BZ246:BZ246)</f>
        <v>0</v>
      </c>
    </row>
    <row r="252" spans="2:78" s="121" customFormat="1" outlineLevel="2">
      <c r="B252" s="121" t="s">
        <v>849</v>
      </c>
      <c r="C252" s="121" t="s">
        <v>1206</v>
      </c>
      <c r="F252" s="107" t="s">
        <v>89</v>
      </c>
      <c r="G252" s="107" t="s">
        <v>199</v>
      </c>
      <c r="H252" s="122" t="s">
        <v>1207</v>
      </c>
      <c r="I252" s="124"/>
      <c r="J252" s="124"/>
      <c r="K252" s="124" t="s">
        <v>1208</v>
      </c>
      <c r="L252" s="124" t="s">
        <v>666</v>
      </c>
      <c r="M252" s="125" t="s">
        <v>183</v>
      </c>
      <c r="N252" s="126">
        <f>SUM(O252:BO252)</f>
        <v>2000</v>
      </c>
      <c r="O252" s="127">
        <v>0</v>
      </c>
      <c r="P252" s="127"/>
      <c r="Q252" s="127"/>
      <c r="R252" s="127"/>
      <c r="S252" s="127"/>
      <c r="T252" s="127">
        <v>0</v>
      </c>
      <c r="U252" s="127"/>
      <c r="V252" s="127"/>
      <c r="W252" s="130">
        <v>2000</v>
      </c>
      <c r="X252" s="127">
        <v>0</v>
      </c>
      <c r="Y252" s="127"/>
      <c r="Z252" s="127"/>
      <c r="AA252" s="127"/>
      <c r="AB252" s="127">
        <v>0</v>
      </c>
      <c r="AC252" s="127"/>
      <c r="AD252" s="127"/>
      <c r="AE252" s="127"/>
      <c r="AF252" s="127"/>
      <c r="AG252" s="127"/>
      <c r="AH252" s="127"/>
      <c r="AI252" s="127"/>
      <c r="AJ252" s="127"/>
      <c r="AK252" s="127">
        <v>0</v>
      </c>
      <c r="AL252" s="127"/>
      <c r="AM252" s="127"/>
      <c r="AN252" s="127"/>
      <c r="AO252" s="127">
        <v>0</v>
      </c>
      <c r="AP252" s="127"/>
      <c r="AQ252" s="127"/>
      <c r="AR252" s="127"/>
      <c r="AS252" s="127"/>
      <c r="AT252" s="127">
        <v>0</v>
      </c>
      <c r="AU252" s="127"/>
      <c r="AV252" s="127"/>
      <c r="AW252" s="127"/>
      <c r="AX252" s="127">
        <v>0</v>
      </c>
      <c r="AY252" s="127"/>
      <c r="AZ252" s="127"/>
      <c r="BA252" s="127"/>
      <c r="BB252" s="127">
        <v>0</v>
      </c>
      <c r="BC252" s="127"/>
      <c r="BD252" s="127"/>
      <c r="BE252" s="127"/>
      <c r="BF252" s="127"/>
      <c r="BG252" s="127">
        <v>0</v>
      </c>
      <c r="BH252" s="127"/>
      <c r="BI252" s="127"/>
      <c r="BJ252" s="127"/>
      <c r="BK252" s="127">
        <v>0</v>
      </c>
      <c r="BL252" s="127"/>
      <c r="BM252" s="127"/>
      <c r="BN252" s="127"/>
      <c r="BO252" s="127"/>
      <c r="BP252" s="127"/>
      <c r="BQ252" s="127"/>
      <c r="BR252" s="127"/>
      <c r="BS252" s="127"/>
      <c r="BT252" s="127"/>
      <c r="BU252" s="127"/>
      <c r="BV252" s="127"/>
      <c r="BW252" s="127"/>
      <c r="BX252" s="127"/>
      <c r="BY252" s="127"/>
      <c r="BZ252" s="127"/>
    </row>
    <row r="253" spans="2:78" s="121" customFormat="1" outlineLevel="2">
      <c r="B253" s="121" t="s">
        <v>849</v>
      </c>
      <c r="C253" s="121" t="s">
        <v>1206</v>
      </c>
      <c r="F253" s="107" t="s">
        <v>89</v>
      </c>
      <c r="G253" s="107" t="s">
        <v>199</v>
      </c>
      <c r="H253" s="122" t="s">
        <v>685</v>
      </c>
      <c r="I253" s="124" t="s">
        <v>296</v>
      </c>
      <c r="J253" s="124"/>
      <c r="K253" s="124" t="s">
        <v>686</v>
      </c>
      <c r="L253" s="124" t="s">
        <v>687</v>
      </c>
      <c r="M253" s="125" t="s">
        <v>183</v>
      </c>
      <c r="N253" s="126">
        <f>SUM(O253:BO253)</f>
        <v>2600</v>
      </c>
      <c r="O253" s="130">
        <v>1300</v>
      </c>
      <c r="P253" s="130">
        <v>1300</v>
      </c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>
        <v>0</v>
      </c>
      <c r="AH253" s="127"/>
      <c r="AI253" s="127"/>
      <c r="AJ253" s="127"/>
      <c r="AK253" s="127">
        <v>0</v>
      </c>
      <c r="AL253" s="127"/>
      <c r="AM253" s="127"/>
      <c r="AN253" s="127"/>
      <c r="AO253" s="127">
        <v>0</v>
      </c>
      <c r="AP253" s="127"/>
      <c r="AQ253" s="127"/>
      <c r="AR253" s="127"/>
      <c r="AS253" s="127"/>
      <c r="AT253" s="127">
        <v>0</v>
      </c>
      <c r="AU253" s="127"/>
      <c r="AV253" s="127"/>
      <c r="AW253" s="127"/>
      <c r="AX253" s="127">
        <v>0</v>
      </c>
      <c r="AY253" s="127"/>
      <c r="AZ253" s="127"/>
      <c r="BA253" s="127"/>
      <c r="BB253" s="127">
        <v>0</v>
      </c>
      <c r="BC253" s="127"/>
      <c r="BD253" s="127"/>
      <c r="BE253" s="127"/>
      <c r="BF253" s="127"/>
      <c r="BG253" s="127">
        <v>0</v>
      </c>
      <c r="BH253" s="127"/>
      <c r="BI253" s="127"/>
      <c r="BJ253" s="127"/>
      <c r="BK253" s="127">
        <v>0</v>
      </c>
      <c r="BL253" s="127"/>
      <c r="BM253" s="127"/>
      <c r="BN253" s="127"/>
      <c r="BO253" s="127"/>
      <c r="BP253" s="127" t="s">
        <v>688</v>
      </c>
      <c r="BQ253" s="127" t="s">
        <v>650</v>
      </c>
      <c r="BR253" s="127" t="s">
        <v>689</v>
      </c>
      <c r="BS253" s="127" t="s">
        <v>690</v>
      </c>
      <c r="BT253" s="127" t="s">
        <v>188</v>
      </c>
      <c r="BU253" s="127" t="s">
        <v>189</v>
      </c>
      <c r="BV253" s="127" t="s">
        <v>229</v>
      </c>
      <c r="BW253" s="127" t="s">
        <v>191</v>
      </c>
      <c r="BX253" s="127" t="s">
        <v>691</v>
      </c>
      <c r="BY253" s="127" t="s">
        <v>692</v>
      </c>
      <c r="BZ253" s="131" t="s">
        <v>693</v>
      </c>
    </row>
    <row r="254" spans="2:78" s="121" customFormat="1" outlineLevel="2">
      <c r="B254" s="121" t="s">
        <v>849</v>
      </c>
      <c r="C254" s="121" t="s">
        <v>1206</v>
      </c>
      <c r="F254" s="107" t="s">
        <v>89</v>
      </c>
      <c r="G254" s="107" t="s">
        <v>199</v>
      </c>
      <c r="H254" s="122" t="s">
        <v>1209</v>
      </c>
      <c r="I254" s="124"/>
      <c r="J254" s="124"/>
      <c r="K254" s="124" t="s">
        <v>1210</v>
      </c>
      <c r="L254" s="124" t="s">
        <v>687</v>
      </c>
      <c r="M254" s="125" t="s">
        <v>183</v>
      </c>
      <c r="N254" s="126">
        <f>SUM(O254:BO254)</f>
        <v>4300</v>
      </c>
      <c r="O254" s="127"/>
      <c r="P254" s="127"/>
      <c r="Q254" s="127"/>
      <c r="R254" s="127"/>
      <c r="S254" s="127"/>
      <c r="T254" s="127">
        <v>0</v>
      </c>
      <c r="U254" s="127"/>
      <c r="V254" s="127"/>
      <c r="W254" s="127"/>
      <c r="X254" s="127">
        <v>0</v>
      </c>
      <c r="Y254" s="127"/>
      <c r="Z254" s="130">
        <v>4300</v>
      </c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>
        <v>0</v>
      </c>
      <c r="AL254" s="127"/>
      <c r="AM254" s="127"/>
      <c r="AN254" s="127"/>
      <c r="AO254" s="127">
        <v>0</v>
      </c>
      <c r="AP254" s="127"/>
      <c r="AQ254" s="127"/>
      <c r="AR254" s="127"/>
      <c r="AS254" s="127"/>
      <c r="AT254" s="127">
        <v>0</v>
      </c>
      <c r="AU254" s="127"/>
      <c r="AV254" s="127"/>
      <c r="AW254" s="127"/>
      <c r="AX254" s="127">
        <v>0</v>
      </c>
      <c r="AY254" s="127"/>
      <c r="AZ254" s="127"/>
      <c r="BA254" s="127"/>
      <c r="BB254" s="127">
        <v>0</v>
      </c>
      <c r="BC254" s="127"/>
      <c r="BD254" s="127"/>
      <c r="BE254" s="127"/>
      <c r="BF254" s="127"/>
      <c r="BG254" s="127">
        <v>0</v>
      </c>
      <c r="BH254" s="127"/>
      <c r="BI254" s="127"/>
      <c r="BJ254" s="127"/>
      <c r="BK254" s="127">
        <v>0</v>
      </c>
      <c r="BL254" s="127"/>
      <c r="BM254" s="127"/>
      <c r="BN254" s="127"/>
      <c r="BO254" s="127"/>
      <c r="BP254" s="127" t="s">
        <v>1211</v>
      </c>
      <c r="BQ254" s="127" t="s">
        <v>1212</v>
      </c>
      <c r="BR254" s="127" t="s">
        <v>1213</v>
      </c>
      <c r="BS254" s="127" t="s">
        <v>1214</v>
      </c>
      <c r="BT254" s="127" t="s">
        <v>188</v>
      </c>
      <c r="BU254" s="127" t="s">
        <v>189</v>
      </c>
      <c r="BV254" s="127" t="s">
        <v>229</v>
      </c>
      <c r="BW254" s="127" t="s">
        <v>343</v>
      </c>
      <c r="BX254" s="127" t="s">
        <v>189</v>
      </c>
      <c r="BY254" s="127" t="s">
        <v>189</v>
      </c>
      <c r="BZ254" s="131" t="s">
        <v>693</v>
      </c>
    </row>
    <row r="255" spans="2:78" s="121" customFormat="1" outlineLevel="2">
      <c r="B255" s="121" t="s">
        <v>849</v>
      </c>
      <c r="C255" s="121" t="s">
        <v>1206</v>
      </c>
      <c r="F255" s="107" t="s">
        <v>89</v>
      </c>
      <c r="G255" s="107" t="s">
        <v>199</v>
      </c>
      <c r="H255" s="122" t="s">
        <v>1215</v>
      </c>
      <c r="I255" s="124"/>
      <c r="J255" s="124"/>
      <c r="K255" s="124" t="s">
        <v>1210</v>
      </c>
      <c r="L255" s="124" t="s">
        <v>687</v>
      </c>
      <c r="M255" s="125" t="s">
        <v>183</v>
      </c>
      <c r="N255" s="126">
        <f>SUM(O255:BO255)</f>
        <v>1500</v>
      </c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30">
        <v>1500</v>
      </c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/>
      <c r="BO255" s="127"/>
      <c r="BP255" s="127"/>
      <c r="BQ255" s="127"/>
      <c r="BR255" s="127"/>
      <c r="BS255" s="127"/>
      <c r="BT255" s="127"/>
      <c r="BU255" s="127"/>
      <c r="BV255" s="127"/>
      <c r="BW255" s="127"/>
      <c r="BX255" s="127"/>
      <c r="BY255" s="127"/>
      <c r="BZ255" s="131"/>
    </row>
    <row r="256" spans="2:78" s="139" customFormat="1" outlineLevel="1">
      <c r="C256" s="140" t="s">
        <v>1216</v>
      </c>
      <c r="H256" s="141"/>
      <c r="I256" s="141"/>
      <c r="J256" s="141"/>
      <c r="K256" s="141"/>
      <c r="L256" s="141"/>
      <c r="M256" s="142"/>
      <c r="N256" s="143">
        <f>SUBTOTAL(9,N252:N255)</f>
        <v>10400</v>
      </c>
      <c r="O256" s="144">
        <f>SUBTOTAL(9,O252:O252)</f>
        <v>0</v>
      </c>
      <c r="P256" s="144">
        <f t="shared" ref="P256:BO256" si="30">SUBTOTAL(9,P252:P252)</f>
        <v>0</v>
      </c>
      <c r="Q256" s="144">
        <f t="shared" si="30"/>
        <v>0</v>
      </c>
      <c r="R256" s="144">
        <f t="shared" si="30"/>
        <v>0</v>
      </c>
      <c r="S256" s="144">
        <f t="shared" si="30"/>
        <v>0</v>
      </c>
      <c r="T256" s="144">
        <f t="shared" si="30"/>
        <v>0</v>
      </c>
      <c r="U256" s="144">
        <f t="shared" si="30"/>
        <v>0</v>
      </c>
      <c r="V256" s="144">
        <f t="shared" si="30"/>
        <v>0</v>
      </c>
      <c r="W256" s="144">
        <f t="shared" si="30"/>
        <v>2000</v>
      </c>
      <c r="X256" s="144">
        <f t="shared" si="30"/>
        <v>0</v>
      </c>
      <c r="Y256" s="144">
        <f t="shared" si="30"/>
        <v>0</v>
      </c>
      <c r="Z256" s="144">
        <f t="shared" si="30"/>
        <v>0</v>
      </c>
      <c r="AA256" s="144">
        <f t="shared" si="30"/>
        <v>0</v>
      </c>
      <c r="AB256" s="144">
        <f t="shared" si="30"/>
        <v>0</v>
      </c>
      <c r="AC256" s="144">
        <f t="shared" si="30"/>
        <v>0</v>
      </c>
      <c r="AD256" s="144">
        <f t="shared" si="30"/>
        <v>0</v>
      </c>
      <c r="AE256" s="144">
        <f t="shared" si="30"/>
        <v>0</v>
      </c>
      <c r="AF256" s="144">
        <f t="shared" si="30"/>
        <v>0</v>
      </c>
      <c r="AG256" s="144">
        <f t="shared" si="30"/>
        <v>0</v>
      </c>
      <c r="AH256" s="144">
        <f t="shared" si="30"/>
        <v>0</v>
      </c>
      <c r="AI256" s="144">
        <f t="shared" si="30"/>
        <v>0</v>
      </c>
      <c r="AJ256" s="144">
        <f t="shared" si="30"/>
        <v>0</v>
      </c>
      <c r="AK256" s="144">
        <f t="shared" si="30"/>
        <v>0</v>
      </c>
      <c r="AL256" s="144">
        <f t="shared" si="30"/>
        <v>0</v>
      </c>
      <c r="AM256" s="144">
        <f t="shared" si="30"/>
        <v>0</v>
      </c>
      <c r="AN256" s="144">
        <f t="shared" si="30"/>
        <v>0</v>
      </c>
      <c r="AO256" s="144">
        <f t="shared" si="30"/>
        <v>0</v>
      </c>
      <c r="AP256" s="144">
        <f t="shared" si="30"/>
        <v>0</v>
      </c>
      <c r="AQ256" s="144">
        <f t="shared" si="30"/>
        <v>0</v>
      </c>
      <c r="AR256" s="144">
        <f t="shared" si="30"/>
        <v>0</v>
      </c>
      <c r="AS256" s="144">
        <f t="shared" si="30"/>
        <v>0</v>
      </c>
      <c r="AT256" s="144">
        <f t="shared" si="30"/>
        <v>0</v>
      </c>
      <c r="AU256" s="144">
        <f t="shared" si="30"/>
        <v>0</v>
      </c>
      <c r="AV256" s="144">
        <f t="shared" si="30"/>
        <v>0</v>
      </c>
      <c r="AW256" s="144">
        <f t="shared" si="30"/>
        <v>0</v>
      </c>
      <c r="AX256" s="144">
        <f t="shared" si="30"/>
        <v>0</v>
      </c>
      <c r="AY256" s="144">
        <f t="shared" si="30"/>
        <v>0</v>
      </c>
      <c r="AZ256" s="144">
        <f t="shared" si="30"/>
        <v>0</v>
      </c>
      <c r="BA256" s="144">
        <f t="shared" si="30"/>
        <v>0</v>
      </c>
      <c r="BB256" s="144">
        <f t="shared" si="30"/>
        <v>0</v>
      </c>
      <c r="BC256" s="144">
        <f t="shared" si="30"/>
        <v>0</v>
      </c>
      <c r="BD256" s="144">
        <f t="shared" si="30"/>
        <v>0</v>
      </c>
      <c r="BE256" s="144">
        <f t="shared" si="30"/>
        <v>0</v>
      </c>
      <c r="BF256" s="144">
        <f t="shared" si="30"/>
        <v>0</v>
      </c>
      <c r="BG256" s="144">
        <f t="shared" si="30"/>
        <v>0</v>
      </c>
      <c r="BH256" s="144">
        <f t="shared" si="30"/>
        <v>0</v>
      </c>
      <c r="BI256" s="144">
        <f t="shared" si="30"/>
        <v>0</v>
      </c>
      <c r="BJ256" s="144">
        <f t="shared" si="30"/>
        <v>0</v>
      </c>
      <c r="BK256" s="144">
        <f t="shared" si="30"/>
        <v>0</v>
      </c>
      <c r="BL256" s="144">
        <f t="shared" si="30"/>
        <v>0</v>
      </c>
      <c r="BM256" s="144">
        <f t="shared" si="30"/>
        <v>0</v>
      </c>
      <c r="BN256" s="144">
        <f t="shared" si="30"/>
        <v>0</v>
      </c>
      <c r="BO256" s="144">
        <f t="shared" si="30"/>
        <v>0</v>
      </c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44">
        <f>SUBTOTAL(9,BZ252:BZ252)</f>
        <v>0</v>
      </c>
    </row>
    <row r="257" spans="2:78" s="121" customFormat="1" outlineLevel="2">
      <c r="B257" s="121" t="s">
        <v>849</v>
      </c>
      <c r="C257" s="107" t="s">
        <v>1217</v>
      </c>
      <c r="F257" s="107" t="s">
        <v>89</v>
      </c>
      <c r="G257" s="107" t="s">
        <v>199</v>
      </c>
      <c r="H257" s="122" t="s">
        <v>1218</v>
      </c>
      <c r="I257" s="124"/>
      <c r="J257" s="124"/>
      <c r="K257" s="124" t="s">
        <v>1219</v>
      </c>
      <c r="L257" s="124" t="s">
        <v>687</v>
      </c>
      <c r="M257" s="125" t="s">
        <v>183</v>
      </c>
      <c r="N257" s="126">
        <f>SUM(O257:BO257)</f>
        <v>2000</v>
      </c>
      <c r="O257" s="130">
        <v>2000</v>
      </c>
      <c r="P257" s="127"/>
      <c r="Q257" s="127"/>
      <c r="R257" s="127"/>
      <c r="S257" s="127"/>
      <c r="T257" s="127">
        <v>0</v>
      </c>
      <c r="U257" s="127"/>
      <c r="V257" s="127"/>
      <c r="W257" s="127"/>
      <c r="X257" s="127">
        <v>0</v>
      </c>
      <c r="Y257" s="127"/>
      <c r="Z257" s="127"/>
      <c r="AA257" s="127"/>
      <c r="AB257" s="127">
        <v>0</v>
      </c>
      <c r="AC257" s="127"/>
      <c r="AD257" s="127"/>
      <c r="AE257" s="127"/>
      <c r="AF257" s="127"/>
      <c r="AG257" s="127"/>
      <c r="AH257" s="127"/>
      <c r="AI257" s="127"/>
      <c r="AJ257" s="127"/>
      <c r="AK257" s="127">
        <v>0</v>
      </c>
      <c r="AL257" s="127"/>
      <c r="AM257" s="127"/>
      <c r="AN257" s="127"/>
      <c r="AO257" s="127">
        <v>0</v>
      </c>
      <c r="AP257" s="127"/>
      <c r="AQ257" s="127"/>
      <c r="AR257" s="127"/>
      <c r="AS257" s="127"/>
      <c r="AT257" s="127">
        <v>0</v>
      </c>
      <c r="AU257" s="127"/>
      <c r="AV257" s="127"/>
      <c r="AW257" s="127"/>
      <c r="AX257" s="127">
        <v>0</v>
      </c>
      <c r="AY257" s="127"/>
      <c r="AZ257" s="127"/>
      <c r="BA257" s="127"/>
      <c r="BB257" s="127">
        <v>0</v>
      </c>
      <c r="BC257" s="127"/>
      <c r="BD257" s="127"/>
      <c r="BE257" s="127"/>
      <c r="BF257" s="127"/>
      <c r="BG257" s="127">
        <v>0</v>
      </c>
      <c r="BH257" s="127"/>
      <c r="BI257" s="127"/>
      <c r="BJ257" s="127"/>
      <c r="BK257" s="127">
        <v>0</v>
      </c>
      <c r="BL257" s="127"/>
      <c r="BM257" s="127"/>
      <c r="BN257" s="127"/>
      <c r="BO257" s="127"/>
      <c r="BP257" s="127"/>
      <c r="BQ257" s="127"/>
      <c r="BR257" s="127"/>
      <c r="BS257" s="127"/>
      <c r="BT257" s="127"/>
      <c r="BU257" s="127"/>
      <c r="BV257" s="127"/>
      <c r="BW257" s="127"/>
      <c r="BX257" s="127"/>
      <c r="BY257" s="127"/>
      <c r="BZ257" s="127"/>
    </row>
    <row r="258" spans="2:78" s="139" customFormat="1" outlineLevel="1">
      <c r="C258" s="140" t="s">
        <v>1220</v>
      </c>
      <c r="H258" s="141"/>
      <c r="I258" s="141"/>
      <c r="J258" s="141"/>
      <c r="K258" s="141"/>
      <c r="L258" s="141"/>
      <c r="M258" s="142"/>
      <c r="N258" s="143">
        <f>SUBTOTAL(9,N257:N257)</f>
        <v>2000</v>
      </c>
      <c r="O258" s="144">
        <f>SUBTOTAL(9,O257:O257)</f>
        <v>2000</v>
      </c>
      <c r="P258" s="144">
        <f t="shared" ref="P258:BO258" si="31">SUBTOTAL(9,P257:P257)</f>
        <v>0</v>
      </c>
      <c r="Q258" s="144">
        <f t="shared" si="31"/>
        <v>0</v>
      </c>
      <c r="R258" s="144">
        <f t="shared" si="31"/>
        <v>0</v>
      </c>
      <c r="S258" s="144">
        <f t="shared" si="31"/>
        <v>0</v>
      </c>
      <c r="T258" s="144">
        <f t="shared" si="31"/>
        <v>0</v>
      </c>
      <c r="U258" s="144">
        <f t="shared" si="31"/>
        <v>0</v>
      </c>
      <c r="V258" s="144">
        <f t="shared" si="31"/>
        <v>0</v>
      </c>
      <c r="W258" s="144">
        <f t="shared" si="31"/>
        <v>0</v>
      </c>
      <c r="X258" s="144">
        <f t="shared" si="31"/>
        <v>0</v>
      </c>
      <c r="Y258" s="144">
        <f t="shared" si="31"/>
        <v>0</v>
      </c>
      <c r="Z258" s="144">
        <f t="shared" si="31"/>
        <v>0</v>
      </c>
      <c r="AA258" s="144">
        <f t="shared" si="31"/>
        <v>0</v>
      </c>
      <c r="AB258" s="144">
        <f t="shared" si="31"/>
        <v>0</v>
      </c>
      <c r="AC258" s="144">
        <f t="shared" si="31"/>
        <v>0</v>
      </c>
      <c r="AD258" s="144">
        <f t="shared" si="31"/>
        <v>0</v>
      </c>
      <c r="AE258" s="144">
        <f t="shared" si="31"/>
        <v>0</v>
      </c>
      <c r="AF258" s="144">
        <f t="shared" si="31"/>
        <v>0</v>
      </c>
      <c r="AG258" s="144">
        <f t="shared" si="31"/>
        <v>0</v>
      </c>
      <c r="AH258" s="144">
        <f t="shared" si="31"/>
        <v>0</v>
      </c>
      <c r="AI258" s="144">
        <f t="shared" si="31"/>
        <v>0</v>
      </c>
      <c r="AJ258" s="144">
        <f t="shared" si="31"/>
        <v>0</v>
      </c>
      <c r="AK258" s="144">
        <f t="shared" si="31"/>
        <v>0</v>
      </c>
      <c r="AL258" s="144">
        <f t="shared" si="31"/>
        <v>0</v>
      </c>
      <c r="AM258" s="144">
        <f t="shared" si="31"/>
        <v>0</v>
      </c>
      <c r="AN258" s="144">
        <f t="shared" si="31"/>
        <v>0</v>
      </c>
      <c r="AO258" s="144">
        <f t="shared" si="31"/>
        <v>0</v>
      </c>
      <c r="AP258" s="144">
        <f t="shared" si="31"/>
        <v>0</v>
      </c>
      <c r="AQ258" s="144">
        <f t="shared" si="31"/>
        <v>0</v>
      </c>
      <c r="AR258" s="144">
        <f t="shared" si="31"/>
        <v>0</v>
      </c>
      <c r="AS258" s="144">
        <f t="shared" si="31"/>
        <v>0</v>
      </c>
      <c r="AT258" s="144">
        <f t="shared" si="31"/>
        <v>0</v>
      </c>
      <c r="AU258" s="144">
        <f t="shared" si="31"/>
        <v>0</v>
      </c>
      <c r="AV258" s="144">
        <f t="shared" si="31"/>
        <v>0</v>
      </c>
      <c r="AW258" s="144">
        <f t="shared" si="31"/>
        <v>0</v>
      </c>
      <c r="AX258" s="144">
        <f t="shared" si="31"/>
        <v>0</v>
      </c>
      <c r="AY258" s="144">
        <f t="shared" si="31"/>
        <v>0</v>
      </c>
      <c r="AZ258" s="144">
        <f t="shared" si="31"/>
        <v>0</v>
      </c>
      <c r="BA258" s="144">
        <f t="shared" si="31"/>
        <v>0</v>
      </c>
      <c r="BB258" s="144">
        <f t="shared" si="31"/>
        <v>0</v>
      </c>
      <c r="BC258" s="144">
        <f t="shared" si="31"/>
        <v>0</v>
      </c>
      <c r="BD258" s="144">
        <f t="shared" si="31"/>
        <v>0</v>
      </c>
      <c r="BE258" s="144">
        <f t="shared" si="31"/>
        <v>0</v>
      </c>
      <c r="BF258" s="144">
        <f t="shared" si="31"/>
        <v>0</v>
      </c>
      <c r="BG258" s="144">
        <f t="shared" si="31"/>
        <v>0</v>
      </c>
      <c r="BH258" s="144">
        <f t="shared" si="31"/>
        <v>0</v>
      </c>
      <c r="BI258" s="144">
        <f t="shared" si="31"/>
        <v>0</v>
      </c>
      <c r="BJ258" s="144">
        <f t="shared" si="31"/>
        <v>0</v>
      </c>
      <c r="BK258" s="144">
        <f t="shared" si="31"/>
        <v>0</v>
      </c>
      <c r="BL258" s="144">
        <f t="shared" si="31"/>
        <v>0</v>
      </c>
      <c r="BM258" s="144">
        <f t="shared" si="31"/>
        <v>0</v>
      </c>
      <c r="BN258" s="144">
        <f t="shared" si="31"/>
        <v>0</v>
      </c>
      <c r="BO258" s="144">
        <f t="shared" si="31"/>
        <v>0</v>
      </c>
      <c r="BP258" s="144"/>
      <c r="BQ258" s="144"/>
      <c r="BR258" s="144"/>
      <c r="BS258" s="144"/>
      <c r="BT258" s="144"/>
      <c r="BU258" s="144"/>
      <c r="BV258" s="144"/>
      <c r="BW258" s="144"/>
      <c r="BX258" s="144"/>
      <c r="BY258" s="144"/>
      <c r="BZ258" s="144">
        <f>SUBTOTAL(9,BZ257:BZ257)</f>
        <v>0</v>
      </c>
    </row>
    <row r="259" spans="2:78" s="121" customFormat="1" outlineLevel="2">
      <c r="B259" s="121" t="s">
        <v>849</v>
      </c>
      <c r="C259" s="107" t="s">
        <v>1221</v>
      </c>
      <c r="F259" s="107" t="s">
        <v>89</v>
      </c>
      <c r="G259" s="107" t="s">
        <v>199</v>
      </c>
      <c r="H259" s="122" t="s">
        <v>1222</v>
      </c>
      <c r="I259" s="124"/>
      <c r="J259" s="124"/>
      <c r="K259" s="124" t="s">
        <v>1223</v>
      </c>
      <c r="L259" s="124" t="s">
        <v>666</v>
      </c>
      <c r="M259" s="125" t="s">
        <v>183</v>
      </c>
      <c r="N259" s="126">
        <f>SUM(O259:BO259)</f>
        <v>750</v>
      </c>
      <c r="O259" s="127">
        <v>0</v>
      </c>
      <c r="P259" s="127"/>
      <c r="Q259" s="130">
        <v>750</v>
      </c>
      <c r="R259" s="127"/>
      <c r="S259" s="127"/>
      <c r="T259" s="127">
        <v>0</v>
      </c>
      <c r="U259" s="127"/>
      <c r="V259" s="127"/>
      <c r="W259" s="127"/>
      <c r="X259" s="127">
        <v>0</v>
      </c>
      <c r="Y259" s="127"/>
      <c r="Z259" s="127"/>
      <c r="AA259" s="127"/>
      <c r="AB259" s="127">
        <v>0</v>
      </c>
      <c r="AC259" s="127"/>
      <c r="AD259" s="127"/>
      <c r="AE259" s="127"/>
      <c r="AF259" s="127"/>
      <c r="AG259" s="127">
        <v>0</v>
      </c>
      <c r="AH259" s="127"/>
      <c r="AI259" s="127"/>
      <c r="AJ259" s="127"/>
      <c r="AK259" s="127">
        <v>0</v>
      </c>
      <c r="AL259" s="127"/>
      <c r="AM259" s="127"/>
      <c r="AN259" s="127"/>
      <c r="AO259" s="127">
        <v>0</v>
      </c>
      <c r="AP259" s="127"/>
      <c r="AQ259" s="127"/>
      <c r="AR259" s="127"/>
      <c r="AS259" s="127"/>
      <c r="AT259" s="127">
        <v>0</v>
      </c>
      <c r="AU259" s="127"/>
      <c r="AV259" s="127"/>
      <c r="AW259" s="127"/>
      <c r="AX259" s="127">
        <v>0</v>
      </c>
      <c r="AY259" s="127"/>
      <c r="AZ259" s="127"/>
      <c r="BA259" s="127"/>
      <c r="BB259" s="127">
        <v>0</v>
      </c>
      <c r="BC259" s="127"/>
      <c r="BD259" s="127"/>
      <c r="BE259" s="127"/>
      <c r="BF259" s="127"/>
      <c r="BG259" s="127"/>
      <c r="BH259" s="127"/>
      <c r="BI259" s="127"/>
      <c r="BJ259" s="127"/>
      <c r="BK259" s="127">
        <v>0</v>
      </c>
      <c r="BL259" s="127"/>
      <c r="BM259" s="127"/>
      <c r="BN259" s="127"/>
      <c r="BO259" s="127"/>
      <c r="BP259" s="127" t="s">
        <v>1224</v>
      </c>
      <c r="BQ259" s="127" t="s">
        <v>1225</v>
      </c>
      <c r="BR259" s="127" t="s">
        <v>1226</v>
      </c>
      <c r="BS259" s="127" t="s">
        <v>1227</v>
      </c>
      <c r="BT259" s="127" t="s">
        <v>239</v>
      </c>
      <c r="BU259" s="127" t="s">
        <v>1012</v>
      </c>
      <c r="BV259" s="127" t="s">
        <v>205</v>
      </c>
      <c r="BW259" s="127" t="s">
        <v>191</v>
      </c>
      <c r="BX259" s="127" t="s">
        <v>828</v>
      </c>
      <c r="BY259" s="127" t="s">
        <v>929</v>
      </c>
      <c r="BZ259" s="127" t="s">
        <v>1228</v>
      </c>
    </row>
    <row r="260" spans="2:78" s="121" customFormat="1" outlineLevel="2">
      <c r="B260" s="121" t="s">
        <v>849</v>
      </c>
      <c r="C260" s="107" t="s">
        <v>1221</v>
      </c>
      <c r="F260" s="107" t="s">
        <v>89</v>
      </c>
      <c r="G260" s="107" t="s">
        <v>199</v>
      </c>
      <c r="H260" s="122" t="s">
        <v>1229</v>
      </c>
      <c r="I260" s="124" t="s">
        <v>475</v>
      </c>
      <c r="J260" s="124"/>
      <c r="K260" s="124" t="s">
        <v>1230</v>
      </c>
      <c r="L260" s="124" t="s">
        <v>666</v>
      </c>
      <c r="M260" s="125" t="s">
        <v>183</v>
      </c>
      <c r="N260" s="126">
        <f>SUM(O260:BO260)</f>
        <v>3000</v>
      </c>
      <c r="O260" s="127">
        <v>0</v>
      </c>
      <c r="P260" s="127"/>
      <c r="Q260" s="127"/>
      <c r="R260" s="127"/>
      <c r="S260" s="127"/>
      <c r="T260" s="127">
        <v>0</v>
      </c>
      <c r="U260" s="127"/>
      <c r="V260" s="127"/>
      <c r="W260" s="127"/>
      <c r="X260" s="127"/>
      <c r="Y260" s="127"/>
      <c r="Z260" s="130">
        <v>1000</v>
      </c>
      <c r="AA260" s="130">
        <v>1000</v>
      </c>
      <c r="AB260" s="130">
        <v>1000</v>
      </c>
      <c r="AC260" s="127"/>
      <c r="AD260" s="127"/>
      <c r="AE260" s="127"/>
      <c r="AF260" s="127"/>
      <c r="AG260" s="127">
        <v>0</v>
      </c>
      <c r="AH260" s="127"/>
      <c r="AI260" s="127"/>
      <c r="AJ260" s="127"/>
      <c r="AK260" s="127">
        <v>0</v>
      </c>
      <c r="AL260" s="127"/>
      <c r="AM260" s="127"/>
      <c r="AN260" s="127"/>
      <c r="AO260" s="127">
        <v>0</v>
      </c>
      <c r="AP260" s="127"/>
      <c r="AQ260" s="127"/>
      <c r="AR260" s="127"/>
      <c r="AS260" s="127"/>
      <c r="AT260" s="127">
        <v>0</v>
      </c>
      <c r="AU260" s="127"/>
      <c r="AV260" s="127"/>
      <c r="AW260" s="127"/>
      <c r="AX260" s="127">
        <v>0</v>
      </c>
      <c r="AY260" s="127"/>
      <c r="AZ260" s="127"/>
      <c r="BA260" s="127"/>
      <c r="BB260" s="127">
        <v>0</v>
      </c>
      <c r="BC260" s="127"/>
      <c r="BD260" s="127"/>
      <c r="BE260" s="127"/>
      <c r="BF260" s="127"/>
      <c r="BG260" s="127">
        <v>0</v>
      </c>
      <c r="BH260" s="127"/>
      <c r="BI260" s="127"/>
      <c r="BJ260" s="127"/>
      <c r="BK260" s="127">
        <v>0</v>
      </c>
      <c r="BL260" s="127"/>
      <c r="BM260" s="127"/>
      <c r="BN260" s="127"/>
      <c r="BO260" s="127"/>
      <c r="BP260" s="127" t="s">
        <v>1231</v>
      </c>
      <c r="BQ260" s="127" t="s">
        <v>1232</v>
      </c>
      <c r="BR260" s="127" t="s">
        <v>1233</v>
      </c>
      <c r="BS260" s="127" t="s">
        <v>1234</v>
      </c>
      <c r="BT260" s="127" t="s">
        <v>239</v>
      </c>
      <c r="BU260" s="127" t="s">
        <v>499</v>
      </c>
      <c r="BV260" s="127" t="s">
        <v>229</v>
      </c>
      <c r="BW260" s="127" t="s">
        <v>191</v>
      </c>
      <c r="BX260" s="127" t="s">
        <v>278</v>
      </c>
      <c r="BY260" s="127" t="s">
        <v>1235</v>
      </c>
      <c r="BZ260" s="127" t="s">
        <v>1228</v>
      </c>
    </row>
    <row r="261" spans="2:78" s="139" customFormat="1" outlineLevel="1">
      <c r="C261" s="140" t="s">
        <v>1236</v>
      </c>
      <c r="H261" s="141"/>
      <c r="I261" s="141"/>
      <c r="J261" s="141"/>
      <c r="K261" s="141"/>
      <c r="L261" s="141"/>
      <c r="M261" s="142"/>
      <c r="N261" s="143">
        <f>SUBTOTAL(9,N259:N259)</f>
        <v>750</v>
      </c>
      <c r="O261" s="144">
        <f>SUBTOTAL(9,O259:O259)</f>
        <v>0</v>
      </c>
      <c r="P261" s="144">
        <f t="shared" ref="P261:BO261" si="32">SUBTOTAL(9,P259:P259)</f>
        <v>0</v>
      </c>
      <c r="Q261" s="144">
        <f t="shared" si="32"/>
        <v>750</v>
      </c>
      <c r="R261" s="144">
        <f t="shared" si="32"/>
        <v>0</v>
      </c>
      <c r="S261" s="144">
        <f t="shared" si="32"/>
        <v>0</v>
      </c>
      <c r="T261" s="144">
        <f t="shared" si="32"/>
        <v>0</v>
      </c>
      <c r="U261" s="144">
        <f t="shared" si="32"/>
        <v>0</v>
      </c>
      <c r="V261" s="144">
        <f t="shared" si="32"/>
        <v>0</v>
      </c>
      <c r="W261" s="144">
        <f t="shared" si="32"/>
        <v>0</v>
      </c>
      <c r="X261" s="144">
        <f t="shared" si="32"/>
        <v>0</v>
      </c>
      <c r="Y261" s="144">
        <f t="shared" si="32"/>
        <v>0</v>
      </c>
      <c r="Z261" s="144">
        <f t="shared" si="32"/>
        <v>0</v>
      </c>
      <c r="AA261" s="144">
        <f t="shared" si="32"/>
        <v>0</v>
      </c>
      <c r="AB261" s="144">
        <f t="shared" si="32"/>
        <v>0</v>
      </c>
      <c r="AC261" s="144">
        <f t="shared" si="32"/>
        <v>0</v>
      </c>
      <c r="AD261" s="144">
        <f t="shared" si="32"/>
        <v>0</v>
      </c>
      <c r="AE261" s="144">
        <f t="shared" si="32"/>
        <v>0</v>
      </c>
      <c r="AF261" s="144">
        <f t="shared" si="32"/>
        <v>0</v>
      </c>
      <c r="AG261" s="144">
        <f t="shared" si="32"/>
        <v>0</v>
      </c>
      <c r="AH261" s="144">
        <f t="shared" si="32"/>
        <v>0</v>
      </c>
      <c r="AI261" s="144">
        <f t="shared" si="32"/>
        <v>0</v>
      </c>
      <c r="AJ261" s="144">
        <f t="shared" si="32"/>
        <v>0</v>
      </c>
      <c r="AK261" s="144">
        <f t="shared" si="32"/>
        <v>0</v>
      </c>
      <c r="AL261" s="144">
        <f t="shared" si="32"/>
        <v>0</v>
      </c>
      <c r="AM261" s="144">
        <f t="shared" si="32"/>
        <v>0</v>
      </c>
      <c r="AN261" s="144">
        <f t="shared" si="32"/>
        <v>0</v>
      </c>
      <c r="AO261" s="144">
        <f t="shared" si="32"/>
        <v>0</v>
      </c>
      <c r="AP261" s="144">
        <f t="shared" si="32"/>
        <v>0</v>
      </c>
      <c r="AQ261" s="144">
        <f t="shared" si="32"/>
        <v>0</v>
      </c>
      <c r="AR261" s="144">
        <f t="shared" si="32"/>
        <v>0</v>
      </c>
      <c r="AS261" s="144">
        <f t="shared" si="32"/>
        <v>0</v>
      </c>
      <c r="AT261" s="144">
        <f t="shared" si="32"/>
        <v>0</v>
      </c>
      <c r="AU261" s="144">
        <f t="shared" si="32"/>
        <v>0</v>
      </c>
      <c r="AV261" s="144">
        <f t="shared" si="32"/>
        <v>0</v>
      </c>
      <c r="AW261" s="144">
        <f t="shared" si="32"/>
        <v>0</v>
      </c>
      <c r="AX261" s="144">
        <f t="shared" si="32"/>
        <v>0</v>
      </c>
      <c r="AY261" s="144">
        <f t="shared" si="32"/>
        <v>0</v>
      </c>
      <c r="AZ261" s="144">
        <f t="shared" si="32"/>
        <v>0</v>
      </c>
      <c r="BA261" s="144">
        <f t="shared" si="32"/>
        <v>0</v>
      </c>
      <c r="BB261" s="144">
        <f t="shared" si="32"/>
        <v>0</v>
      </c>
      <c r="BC261" s="144">
        <f t="shared" si="32"/>
        <v>0</v>
      </c>
      <c r="BD261" s="144">
        <f t="shared" si="32"/>
        <v>0</v>
      </c>
      <c r="BE261" s="144">
        <f t="shared" si="32"/>
        <v>0</v>
      </c>
      <c r="BF261" s="144">
        <f t="shared" si="32"/>
        <v>0</v>
      </c>
      <c r="BG261" s="144">
        <f t="shared" si="32"/>
        <v>0</v>
      </c>
      <c r="BH261" s="144">
        <f t="shared" si="32"/>
        <v>0</v>
      </c>
      <c r="BI261" s="144">
        <f t="shared" si="32"/>
        <v>0</v>
      </c>
      <c r="BJ261" s="144">
        <f t="shared" si="32"/>
        <v>0</v>
      </c>
      <c r="BK261" s="144">
        <f t="shared" si="32"/>
        <v>0</v>
      </c>
      <c r="BL261" s="144">
        <f t="shared" si="32"/>
        <v>0</v>
      </c>
      <c r="BM261" s="144">
        <f t="shared" si="32"/>
        <v>0</v>
      </c>
      <c r="BN261" s="144">
        <f t="shared" si="32"/>
        <v>0</v>
      </c>
      <c r="BO261" s="144">
        <f t="shared" si="32"/>
        <v>0</v>
      </c>
      <c r="BP261" s="144"/>
      <c r="BQ261" s="144"/>
      <c r="BR261" s="144"/>
      <c r="BS261" s="144"/>
      <c r="BT261" s="144"/>
      <c r="BU261" s="144"/>
      <c r="BV261" s="144"/>
      <c r="BW261" s="144"/>
      <c r="BX261" s="144"/>
      <c r="BY261" s="144"/>
      <c r="BZ261" s="144">
        <f>SUBTOTAL(9,BZ259:BZ259)</f>
        <v>0</v>
      </c>
    </row>
    <row r="262" spans="2:78" s="121" customFormat="1" outlineLevel="2">
      <c r="B262" s="129" t="s">
        <v>849</v>
      </c>
      <c r="C262" s="121" t="s">
        <v>1237</v>
      </c>
      <c r="D262" s="107" t="s">
        <v>195</v>
      </c>
      <c r="F262" s="107" t="s">
        <v>88</v>
      </c>
      <c r="H262" s="124" t="s">
        <v>1238</v>
      </c>
      <c r="I262" s="124"/>
      <c r="J262" s="124"/>
      <c r="K262" s="124" t="s">
        <v>189</v>
      </c>
      <c r="L262" s="124" t="s">
        <v>1175</v>
      </c>
      <c r="M262" s="125" t="s">
        <v>183</v>
      </c>
      <c r="N262" s="126">
        <f>SUM(O262:BO262)</f>
        <v>2000</v>
      </c>
      <c r="O262" s="127">
        <v>0</v>
      </c>
      <c r="P262" s="127"/>
      <c r="Q262" s="127"/>
      <c r="R262" s="127"/>
      <c r="S262" s="127"/>
      <c r="T262" s="127">
        <v>0</v>
      </c>
      <c r="U262" s="127"/>
      <c r="V262" s="127"/>
      <c r="W262" s="127"/>
      <c r="X262" s="127">
        <v>0</v>
      </c>
      <c r="Y262" s="127"/>
      <c r="Z262" s="127"/>
      <c r="AA262" s="127"/>
      <c r="AB262" s="127">
        <v>0</v>
      </c>
      <c r="AC262" s="127"/>
      <c r="AD262" s="127"/>
      <c r="AE262" s="127"/>
      <c r="AF262" s="127"/>
      <c r="AG262" s="127">
        <v>0</v>
      </c>
      <c r="AH262" s="127"/>
      <c r="AI262" s="127"/>
      <c r="AJ262" s="127"/>
      <c r="AK262" s="127">
        <v>2000</v>
      </c>
      <c r="AL262" s="127"/>
      <c r="AM262" s="127"/>
      <c r="AN262" s="127"/>
      <c r="AO262" s="127">
        <v>0</v>
      </c>
      <c r="AP262" s="127"/>
      <c r="AQ262" s="127"/>
      <c r="AR262" s="127"/>
      <c r="AS262" s="127"/>
      <c r="AT262" s="127">
        <v>0</v>
      </c>
      <c r="AU262" s="127"/>
      <c r="AV262" s="127"/>
      <c r="AW262" s="127"/>
      <c r="AX262" s="127">
        <v>0</v>
      </c>
      <c r="AY262" s="127"/>
      <c r="AZ262" s="127"/>
      <c r="BA262" s="127"/>
      <c r="BB262" s="127">
        <v>0</v>
      </c>
      <c r="BC262" s="127"/>
      <c r="BD262" s="127"/>
      <c r="BE262" s="127"/>
      <c r="BF262" s="127"/>
      <c r="BG262" s="127">
        <v>0</v>
      </c>
      <c r="BH262" s="127"/>
      <c r="BI262" s="127"/>
      <c r="BJ262" s="127"/>
      <c r="BK262" s="127">
        <v>0</v>
      </c>
      <c r="BL262" s="127"/>
      <c r="BM262" s="127"/>
      <c r="BN262" s="127"/>
      <c r="BO262" s="127"/>
      <c r="BP262" s="127" t="s">
        <v>1239</v>
      </c>
      <c r="BQ262" s="127" t="s">
        <v>189</v>
      </c>
      <c r="BR262" s="127" t="s">
        <v>189</v>
      </c>
      <c r="BS262" s="127" t="s">
        <v>189</v>
      </c>
      <c r="BT262" s="127" t="s">
        <v>188</v>
      </c>
      <c r="BU262" s="127" t="s">
        <v>189</v>
      </c>
      <c r="BV262" s="127" t="s">
        <v>188</v>
      </c>
      <c r="BW262" s="127" t="s">
        <v>733</v>
      </c>
      <c r="BX262" s="127" t="s">
        <v>596</v>
      </c>
      <c r="BY262" s="127" t="s">
        <v>189</v>
      </c>
      <c r="BZ262" s="131" t="s">
        <v>1189</v>
      </c>
    </row>
    <row r="263" spans="2:78" s="121" customFormat="1" outlineLevel="2">
      <c r="B263" s="121" t="s">
        <v>849</v>
      </c>
      <c r="C263" s="121" t="s">
        <v>1237</v>
      </c>
      <c r="D263" s="107" t="s">
        <v>198</v>
      </c>
      <c r="F263" s="107" t="s">
        <v>88</v>
      </c>
      <c r="H263" s="124" t="s">
        <v>1240</v>
      </c>
      <c r="I263" s="124"/>
      <c r="J263" s="124"/>
      <c r="K263" s="124" t="s">
        <v>189</v>
      </c>
      <c r="L263" s="124" t="s">
        <v>666</v>
      </c>
      <c r="M263" s="125" t="s">
        <v>183</v>
      </c>
      <c r="N263" s="126">
        <f>SUM(O263:BO263)</f>
        <v>1200</v>
      </c>
      <c r="O263" s="127">
        <v>0</v>
      </c>
      <c r="P263" s="127"/>
      <c r="Q263" s="127"/>
      <c r="R263" s="127"/>
      <c r="S263" s="127"/>
      <c r="T263" s="127">
        <v>0</v>
      </c>
      <c r="U263" s="127"/>
      <c r="V263" s="127"/>
      <c r="W263" s="127"/>
      <c r="X263" s="127">
        <v>0</v>
      </c>
      <c r="Y263" s="127"/>
      <c r="Z263" s="127"/>
      <c r="AA263" s="127"/>
      <c r="AB263" s="127">
        <v>0</v>
      </c>
      <c r="AC263" s="127"/>
      <c r="AD263" s="127"/>
      <c r="AE263" s="127"/>
      <c r="AF263" s="127"/>
      <c r="AG263" s="127">
        <v>1200</v>
      </c>
      <c r="AH263" s="127"/>
      <c r="AI263" s="127"/>
      <c r="AJ263" s="127"/>
      <c r="AK263" s="127">
        <v>0</v>
      </c>
      <c r="AL263" s="127"/>
      <c r="AM263" s="127"/>
      <c r="AN263" s="127"/>
      <c r="AO263" s="127">
        <v>0</v>
      </c>
      <c r="AP263" s="127"/>
      <c r="AQ263" s="127"/>
      <c r="AR263" s="127"/>
      <c r="AS263" s="127"/>
      <c r="AT263" s="127">
        <v>0</v>
      </c>
      <c r="AU263" s="127"/>
      <c r="AV263" s="127"/>
      <c r="AW263" s="127"/>
      <c r="AX263" s="127">
        <v>0</v>
      </c>
      <c r="AY263" s="127"/>
      <c r="AZ263" s="127"/>
      <c r="BA263" s="127"/>
      <c r="BB263" s="127">
        <v>0</v>
      </c>
      <c r="BC263" s="127"/>
      <c r="BD263" s="127"/>
      <c r="BE263" s="127"/>
      <c r="BF263" s="127"/>
      <c r="BG263" s="127">
        <v>0</v>
      </c>
      <c r="BH263" s="127"/>
      <c r="BI263" s="127"/>
      <c r="BJ263" s="127"/>
      <c r="BK263" s="127">
        <v>0</v>
      </c>
      <c r="BL263" s="127"/>
      <c r="BM263" s="127"/>
      <c r="BN263" s="127"/>
      <c r="BO263" s="127"/>
      <c r="BP263" s="127" t="s">
        <v>1241</v>
      </c>
      <c r="BQ263" s="127" t="s">
        <v>189</v>
      </c>
      <c r="BR263" s="127" t="s">
        <v>189</v>
      </c>
      <c r="BS263" s="127" t="s">
        <v>189</v>
      </c>
      <c r="BT263" s="127" t="s">
        <v>188</v>
      </c>
      <c r="BU263" s="127" t="s">
        <v>189</v>
      </c>
      <c r="BV263" s="127" t="s">
        <v>188</v>
      </c>
      <c r="BW263" s="127" t="s">
        <v>733</v>
      </c>
      <c r="BX263" s="127" t="s">
        <v>189</v>
      </c>
      <c r="BY263" s="127" t="s">
        <v>189</v>
      </c>
      <c r="BZ263" s="127" t="s">
        <v>189</v>
      </c>
    </row>
    <row r="264" spans="2:78" s="121" customFormat="1" outlineLevel="2">
      <c r="B264" s="121" t="s">
        <v>849</v>
      </c>
      <c r="C264" s="121" t="s">
        <v>1237</v>
      </c>
      <c r="D264" s="107" t="s">
        <v>195</v>
      </c>
      <c r="F264" s="107" t="s">
        <v>88</v>
      </c>
      <c r="H264" s="124" t="s">
        <v>1242</v>
      </c>
      <c r="I264" s="124"/>
      <c r="J264" s="124"/>
      <c r="K264" s="124" t="s">
        <v>1243</v>
      </c>
      <c r="L264" s="124" t="s">
        <v>1244</v>
      </c>
      <c r="M264" s="125" t="s">
        <v>183</v>
      </c>
      <c r="N264" s="126">
        <f>SUM(O264:BO264)</f>
        <v>2400</v>
      </c>
      <c r="O264" s="127"/>
      <c r="P264" s="127"/>
      <c r="Q264" s="127"/>
      <c r="R264" s="127"/>
      <c r="S264" s="127"/>
      <c r="T264" s="127">
        <v>0</v>
      </c>
      <c r="U264" s="127"/>
      <c r="V264" s="127"/>
      <c r="W264" s="127"/>
      <c r="X264" s="127">
        <v>0</v>
      </c>
      <c r="Y264" s="127"/>
      <c r="Z264" s="127"/>
      <c r="AA264" s="127"/>
      <c r="AB264" s="127">
        <v>0</v>
      </c>
      <c r="AC264" s="127"/>
      <c r="AD264" s="127"/>
      <c r="AE264" s="127"/>
      <c r="AF264" s="127"/>
      <c r="AG264" s="127">
        <v>0</v>
      </c>
      <c r="AH264" s="127"/>
      <c r="AI264" s="127"/>
      <c r="AJ264" s="127"/>
      <c r="AK264" s="154">
        <v>1200</v>
      </c>
      <c r="AL264" s="127"/>
      <c r="AM264" s="127"/>
      <c r="AN264" s="154">
        <v>1200</v>
      </c>
      <c r="AO264" s="127">
        <v>0</v>
      </c>
      <c r="AP264" s="127"/>
      <c r="AQ264" s="127"/>
      <c r="AR264" s="127"/>
      <c r="AS264" s="127"/>
      <c r="AT264" s="127">
        <v>0</v>
      </c>
      <c r="AU264" s="127"/>
      <c r="AV264" s="127"/>
      <c r="AW264" s="127"/>
      <c r="AX264" s="127">
        <v>0</v>
      </c>
      <c r="AY264" s="127"/>
      <c r="AZ264" s="127"/>
      <c r="BA264" s="127"/>
      <c r="BB264" s="127">
        <v>0</v>
      </c>
      <c r="BC264" s="127"/>
      <c r="BD264" s="127"/>
      <c r="BE264" s="127"/>
      <c r="BF264" s="127"/>
      <c r="BG264" s="127">
        <v>0</v>
      </c>
      <c r="BH264" s="127"/>
      <c r="BI264" s="127"/>
      <c r="BJ264" s="127"/>
      <c r="BK264" s="127">
        <v>0</v>
      </c>
      <c r="BL264" s="127"/>
      <c r="BM264" s="127"/>
      <c r="BN264" s="127"/>
      <c r="BO264" s="127"/>
      <c r="BP264" s="127" t="s">
        <v>1245</v>
      </c>
      <c r="BQ264" s="127" t="s">
        <v>786</v>
      </c>
      <c r="BR264" s="127" t="s">
        <v>1246</v>
      </c>
      <c r="BS264" s="127" t="s">
        <v>1247</v>
      </c>
      <c r="BT264" s="127" t="s">
        <v>188</v>
      </c>
      <c r="BU264" s="127" t="s">
        <v>189</v>
      </c>
      <c r="BV264" s="127" t="s">
        <v>304</v>
      </c>
      <c r="BW264" s="127" t="s">
        <v>343</v>
      </c>
      <c r="BX264" s="127" t="s">
        <v>1248</v>
      </c>
      <c r="BY264" s="127" t="s">
        <v>1249</v>
      </c>
      <c r="BZ264" s="128" t="s">
        <v>1250</v>
      </c>
    </row>
    <row r="265" spans="2:78" s="121" customFormat="1" outlineLevel="2">
      <c r="B265" s="121" t="s">
        <v>849</v>
      </c>
      <c r="C265" s="121" t="s">
        <v>1237</v>
      </c>
      <c r="D265" s="107" t="s">
        <v>195</v>
      </c>
      <c r="F265" s="107" t="s">
        <v>88</v>
      </c>
      <c r="G265" s="107" t="s">
        <v>199</v>
      </c>
      <c r="H265" s="122" t="s">
        <v>1229</v>
      </c>
      <c r="I265" s="124" t="s">
        <v>475</v>
      </c>
      <c r="J265" s="124"/>
      <c r="K265" s="124" t="s">
        <v>1230</v>
      </c>
      <c r="L265" s="124" t="s">
        <v>666</v>
      </c>
      <c r="M265" s="125" t="s">
        <v>183</v>
      </c>
      <c r="N265" s="126">
        <f>SUM(O265:BO265)</f>
        <v>5500</v>
      </c>
      <c r="O265" s="127">
        <v>0</v>
      </c>
      <c r="P265" s="127"/>
      <c r="Q265" s="127"/>
      <c r="R265" s="127"/>
      <c r="S265" s="127"/>
      <c r="T265" s="127">
        <v>0</v>
      </c>
      <c r="U265" s="127"/>
      <c r="V265" s="127"/>
      <c r="W265" s="127"/>
      <c r="X265" s="127"/>
      <c r="Y265" s="127"/>
      <c r="Z265" s="130">
        <v>1100</v>
      </c>
      <c r="AA265" s="130">
        <v>1100</v>
      </c>
      <c r="AB265" s="130">
        <v>1100</v>
      </c>
      <c r="AC265" s="130">
        <v>1100</v>
      </c>
      <c r="AD265" s="130">
        <v>1100</v>
      </c>
      <c r="AE265" s="127"/>
      <c r="AF265" s="127"/>
      <c r="AG265" s="127">
        <v>0</v>
      </c>
      <c r="AH265" s="127"/>
      <c r="AI265" s="127"/>
      <c r="AJ265" s="127"/>
      <c r="AK265" s="127">
        <v>0</v>
      </c>
      <c r="AL265" s="127"/>
      <c r="AM265" s="127"/>
      <c r="AN265" s="127"/>
      <c r="AO265" s="127">
        <v>0</v>
      </c>
      <c r="AP265" s="127"/>
      <c r="AQ265" s="127"/>
      <c r="AR265" s="127"/>
      <c r="AS265" s="127"/>
      <c r="AT265" s="127">
        <v>0</v>
      </c>
      <c r="AU265" s="127"/>
      <c r="AV265" s="127"/>
      <c r="AW265" s="127"/>
      <c r="AX265" s="127">
        <v>0</v>
      </c>
      <c r="AY265" s="127"/>
      <c r="AZ265" s="127"/>
      <c r="BA265" s="127"/>
      <c r="BB265" s="127">
        <v>0</v>
      </c>
      <c r="BC265" s="127"/>
      <c r="BD265" s="127"/>
      <c r="BE265" s="127"/>
      <c r="BF265" s="127"/>
      <c r="BG265" s="127">
        <v>0</v>
      </c>
      <c r="BH265" s="127"/>
      <c r="BI265" s="127"/>
      <c r="BJ265" s="127"/>
      <c r="BK265" s="127">
        <v>0</v>
      </c>
      <c r="BL265" s="127"/>
      <c r="BM265" s="127"/>
      <c r="BN265" s="127"/>
      <c r="BO265" s="127"/>
      <c r="BP265" s="127" t="s">
        <v>1231</v>
      </c>
      <c r="BQ265" s="127" t="s">
        <v>1232</v>
      </c>
      <c r="BR265" s="127" t="s">
        <v>1233</v>
      </c>
      <c r="BS265" s="127" t="s">
        <v>1234</v>
      </c>
      <c r="BT265" s="127" t="s">
        <v>239</v>
      </c>
      <c r="BU265" s="127" t="s">
        <v>499</v>
      </c>
      <c r="BV265" s="127" t="s">
        <v>229</v>
      </c>
      <c r="BW265" s="127" t="s">
        <v>191</v>
      </c>
      <c r="BX265" s="127" t="s">
        <v>278</v>
      </c>
      <c r="BY265" s="127" t="s">
        <v>1235</v>
      </c>
      <c r="BZ265" s="127" t="s">
        <v>1228</v>
      </c>
    </row>
    <row r="266" spans="2:78" s="121" customFormat="1" outlineLevel="2">
      <c r="B266" s="121" t="s">
        <v>849</v>
      </c>
      <c r="C266" s="121" t="s">
        <v>1237</v>
      </c>
      <c r="D266" s="107" t="s">
        <v>195</v>
      </c>
      <c r="F266" s="107" t="s">
        <v>88</v>
      </c>
      <c r="G266" s="107"/>
      <c r="H266" s="122" t="s">
        <v>1251</v>
      </c>
      <c r="I266" s="124"/>
      <c r="J266" s="124"/>
      <c r="K266" s="124" t="s">
        <v>1252</v>
      </c>
      <c r="L266" s="124" t="s">
        <v>1244</v>
      </c>
      <c r="M266" s="125" t="s">
        <v>183</v>
      </c>
      <c r="N266" s="126">
        <f>SUM(O266:BO266)</f>
        <v>7200</v>
      </c>
      <c r="O266" s="127">
        <v>0</v>
      </c>
      <c r="P266" s="127"/>
      <c r="Q266" s="127"/>
      <c r="R266" s="127"/>
      <c r="S266" s="127"/>
      <c r="T266" s="127">
        <v>0</v>
      </c>
      <c r="U266" s="127"/>
      <c r="V266" s="127"/>
      <c r="W266" s="127"/>
      <c r="X266" s="127">
        <v>0</v>
      </c>
      <c r="Y266" s="127"/>
      <c r="Z266" s="127"/>
      <c r="AA266" s="127"/>
      <c r="AB266" s="127">
        <v>0</v>
      </c>
      <c r="AC266" s="127"/>
      <c r="AD266" s="127"/>
      <c r="AE266" s="127"/>
      <c r="AF266" s="127"/>
      <c r="AG266" s="127">
        <v>0</v>
      </c>
      <c r="AH266" s="127"/>
      <c r="AI266" s="127"/>
      <c r="AJ266" s="127"/>
      <c r="AK266" s="127">
        <v>0</v>
      </c>
      <c r="AL266" s="127"/>
      <c r="AM266" s="127"/>
      <c r="AN266" s="127"/>
      <c r="AO266" s="127">
        <v>0</v>
      </c>
      <c r="AP266" s="127"/>
      <c r="AQ266" s="127"/>
      <c r="AR266" s="127"/>
      <c r="AS266" s="127"/>
      <c r="AT266" s="127">
        <v>0</v>
      </c>
      <c r="AU266" s="127"/>
      <c r="AV266" s="127"/>
      <c r="AW266" s="127"/>
      <c r="AX266" s="127">
        <v>0</v>
      </c>
      <c r="AY266" s="127"/>
      <c r="AZ266" s="127"/>
      <c r="BA266" s="127"/>
      <c r="BB266" s="127"/>
      <c r="BC266" s="127">
        <v>2400</v>
      </c>
      <c r="BD266" s="127">
        <v>1200</v>
      </c>
      <c r="BE266" s="127">
        <v>1200</v>
      </c>
      <c r="BF266" s="127">
        <v>1200</v>
      </c>
      <c r="BG266" s="127">
        <v>1200</v>
      </c>
      <c r="BH266" s="127"/>
      <c r="BI266" s="127"/>
      <c r="BJ266" s="127"/>
      <c r="BK266" s="127">
        <v>0</v>
      </c>
      <c r="BL266" s="127"/>
      <c r="BM266" s="127"/>
      <c r="BN266" s="127"/>
      <c r="BO266" s="127"/>
      <c r="BP266" s="127" t="s">
        <v>1253</v>
      </c>
      <c r="BQ266" s="127" t="s">
        <v>1166</v>
      </c>
      <c r="BR266" s="127" t="s">
        <v>1254</v>
      </c>
      <c r="BS266" s="127" t="s">
        <v>1255</v>
      </c>
      <c r="BT266" s="127" t="s">
        <v>239</v>
      </c>
      <c r="BU266" s="127" t="s">
        <v>189</v>
      </c>
      <c r="BV266" s="127" t="s">
        <v>304</v>
      </c>
      <c r="BW266" s="127" t="s">
        <v>191</v>
      </c>
      <c r="BX266" s="127" t="s">
        <v>534</v>
      </c>
      <c r="BY266" s="127" t="s">
        <v>256</v>
      </c>
      <c r="BZ266" s="131" t="s">
        <v>1256</v>
      </c>
    </row>
    <row r="267" spans="2:78" s="121" customFormat="1" outlineLevel="2">
      <c r="B267" s="121" t="s">
        <v>849</v>
      </c>
      <c r="C267" s="121" t="s">
        <v>1237</v>
      </c>
      <c r="D267" s="107" t="s">
        <v>195</v>
      </c>
      <c r="E267" s="148" t="s">
        <v>1257</v>
      </c>
      <c r="F267" s="107" t="s">
        <v>88</v>
      </c>
      <c r="H267" s="122" t="s">
        <v>1258</v>
      </c>
      <c r="I267" s="124"/>
      <c r="J267" s="124"/>
      <c r="K267" s="124" t="s">
        <v>1259</v>
      </c>
      <c r="L267" s="124" t="s">
        <v>687</v>
      </c>
      <c r="M267" s="125" t="s">
        <v>183</v>
      </c>
      <c r="N267" s="126">
        <f t="shared" ref="N267:N294" si="33">SUM(O267:BO267)</f>
        <v>1200</v>
      </c>
      <c r="O267" s="127">
        <v>0</v>
      </c>
      <c r="P267" s="127"/>
      <c r="Q267" s="127"/>
      <c r="R267" s="127"/>
      <c r="S267" s="127"/>
      <c r="T267" s="127">
        <v>0</v>
      </c>
      <c r="U267" s="127"/>
      <c r="V267" s="127"/>
      <c r="W267" s="127"/>
      <c r="X267" s="127">
        <v>0</v>
      </c>
      <c r="Y267" s="127"/>
      <c r="Z267" s="127"/>
      <c r="AA267" s="127"/>
      <c r="AB267" s="127">
        <v>0</v>
      </c>
      <c r="AC267" s="127"/>
      <c r="AD267" s="127"/>
      <c r="AE267" s="127"/>
      <c r="AF267" s="127"/>
      <c r="AG267" s="127">
        <v>0</v>
      </c>
      <c r="AH267" s="127"/>
      <c r="AI267" s="127"/>
      <c r="AJ267" s="127"/>
      <c r="AK267" s="127">
        <v>0</v>
      </c>
      <c r="AL267" s="127"/>
      <c r="AM267" s="127"/>
      <c r="AN267" s="127"/>
      <c r="AO267" s="127">
        <v>0</v>
      </c>
      <c r="AP267" s="127"/>
      <c r="AQ267" s="127"/>
      <c r="AR267" s="127"/>
      <c r="AS267" s="127"/>
      <c r="AT267" s="127">
        <v>0</v>
      </c>
      <c r="AU267" s="127"/>
      <c r="AV267" s="127"/>
      <c r="AW267" s="127">
        <v>1200</v>
      </c>
      <c r="AX267" s="127"/>
      <c r="AY267" s="127"/>
      <c r="AZ267" s="127"/>
      <c r="BA267" s="127"/>
      <c r="BB267" s="127"/>
      <c r="BC267" s="127"/>
      <c r="BD267" s="127"/>
      <c r="BE267" s="127"/>
      <c r="BF267" s="127"/>
      <c r="BG267" s="127"/>
      <c r="BH267" s="127"/>
      <c r="BI267" s="127"/>
      <c r="BJ267" s="127"/>
      <c r="BK267" s="127">
        <v>0</v>
      </c>
      <c r="BL267" s="127"/>
      <c r="BM267" s="127"/>
      <c r="BN267" s="127"/>
      <c r="BO267" s="127"/>
      <c r="BP267" s="127" t="s">
        <v>1260</v>
      </c>
      <c r="BQ267" s="127" t="s">
        <v>650</v>
      </c>
      <c r="BR267" s="127" t="s">
        <v>1261</v>
      </c>
      <c r="BS267" s="127" t="s">
        <v>1262</v>
      </c>
      <c r="BT267" s="127" t="s">
        <v>188</v>
      </c>
      <c r="BU267" s="127" t="s">
        <v>189</v>
      </c>
      <c r="BV267" s="127" t="s">
        <v>205</v>
      </c>
      <c r="BW267" s="127" t="s">
        <v>191</v>
      </c>
      <c r="BX267" s="127" t="s">
        <v>1263</v>
      </c>
      <c r="BY267" s="127" t="s">
        <v>189</v>
      </c>
      <c r="BZ267" s="131" t="s">
        <v>693</v>
      </c>
    </row>
    <row r="268" spans="2:78" s="121" customFormat="1" outlineLevel="2">
      <c r="B268" s="121" t="s">
        <v>849</v>
      </c>
      <c r="C268" s="107" t="s">
        <v>1237</v>
      </c>
      <c r="D268" s="107" t="s">
        <v>195</v>
      </c>
      <c r="F268" s="107" t="s">
        <v>88</v>
      </c>
      <c r="G268" s="107" t="s">
        <v>1264</v>
      </c>
      <c r="H268" s="122" t="s">
        <v>1265</v>
      </c>
      <c r="I268" s="124" t="s">
        <v>296</v>
      </c>
      <c r="J268" s="124"/>
      <c r="K268" s="124" t="s">
        <v>1266</v>
      </c>
      <c r="L268" s="124" t="s">
        <v>687</v>
      </c>
      <c r="M268" s="125" t="s">
        <v>183</v>
      </c>
      <c r="N268" s="126">
        <f t="shared" si="33"/>
        <v>0</v>
      </c>
      <c r="O268" s="127">
        <v>0</v>
      </c>
      <c r="P268" s="127"/>
      <c r="Q268" s="127"/>
      <c r="R268" s="127"/>
      <c r="S268" s="127"/>
      <c r="T268" s="127">
        <v>0</v>
      </c>
      <c r="U268" s="127"/>
      <c r="V268" s="127"/>
      <c r="W268" s="127"/>
      <c r="X268" s="127">
        <v>0</v>
      </c>
      <c r="Y268" s="127"/>
      <c r="Z268" s="127"/>
      <c r="AA268" s="127"/>
      <c r="AB268" s="127">
        <v>0</v>
      </c>
      <c r="AC268" s="127"/>
      <c r="AD268" s="127"/>
      <c r="AE268" s="127"/>
      <c r="AF268" s="127"/>
      <c r="AG268" s="127">
        <v>0</v>
      </c>
      <c r="AH268" s="127"/>
      <c r="AI268" s="127"/>
      <c r="AJ268" s="127"/>
      <c r="AK268" s="127">
        <v>0</v>
      </c>
      <c r="AL268" s="127"/>
      <c r="AM268" s="127"/>
      <c r="AN268" s="127"/>
      <c r="AO268" s="127">
        <v>0</v>
      </c>
      <c r="AP268" s="127"/>
      <c r="AQ268" s="127"/>
      <c r="AR268" s="127"/>
      <c r="AS268" s="127"/>
      <c r="AT268" s="127">
        <v>0</v>
      </c>
      <c r="AU268" s="127"/>
      <c r="AV268" s="127"/>
      <c r="AW268" s="127"/>
      <c r="AX268" s="127">
        <v>0</v>
      </c>
      <c r="AY268" s="127"/>
      <c r="AZ268" s="127"/>
      <c r="BA268" s="127"/>
      <c r="BB268" s="127">
        <v>0</v>
      </c>
      <c r="BC268" s="127"/>
      <c r="BD268" s="127"/>
      <c r="BE268" s="127"/>
      <c r="BF268" s="127"/>
      <c r="BG268" s="127">
        <v>0</v>
      </c>
      <c r="BH268" s="127"/>
      <c r="BI268" s="127"/>
      <c r="BJ268" s="127"/>
      <c r="BK268" s="127">
        <v>0</v>
      </c>
      <c r="BL268" s="127"/>
      <c r="BM268" s="127"/>
      <c r="BN268" s="127"/>
      <c r="BO268" s="127"/>
      <c r="BP268" s="127" t="s">
        <v>1267</v>
      </c>
      <c r="BQ268" s="127" t="s">
        <v>1268</v>
      </c>
      <c r="BR268" s="127" t="s">
        <v>1269</v>
      </c>
      <c r="BS268" s="127" t="s">
        <v>1270</v>
      </c>
      <c r="BT268" s="127" t="s">
        <v>303</v>
      </c>
      <c r="BU268" s="127" t="s">
        <v>1271</v>
      </c>
      <c r="BV268" s="127" t="s">
        <v>395</v>
      </c>
      <c r="BW268" s="127" t="s">
        <v>191</v>
      </c>
      <c r="BX268" s="127" t="s">
        <v>639</v>
      </c>
      <c r="BY268" s="127" t="s">
        <v>1272</v>
      </c>
      <c r="BZ268" s="127" t="s">
        <v>693</v>
      </c>
    </row>
    <row r="269" spans="2:78" s="121" customFormat="1" outlineLevel="2">
      <c r="B269" s="121" t="s">
        <v>849</v>
      </c>
      <c r="C269" s="121" t="s">
        <v>1237</v>
      </c>
      <c r="D269" s="121" t="s">
        <v>195</v>
      </c>
      <c r="F269" s="107" t="s">
        <v>231</v>
      </c>
      <c r="H269" s="122" t="s">
        <v>1273</v>
      </c>
      <c r="I269" s="123" t="s">
        <v>972</v>
      </c>
      <c r="J269" s="124"/>
      <c r="K269" s="124" t="s">
        <v>1274</v>
      </c>
      <c r="L269" s="124" t="s">
        <v>1244</v>
      </c>
      <c r="M269" s="125" t="s">
        <v>183</v>
      </c>
      <c r="N269" s="126">
        <f t="shared" si="33"/>
        <v>32200</v>
      </c>
      <c r="O269" s="127">
        <v>2300</v>
      </c>
      <c r="P269" s="127">
        <v>2300</v>
      </c>
      <c r="Q269" s="127">
        <v>2300</v>
      </c>
      <c r="R269" s="127">
        <v>2300</v>
      </c>
      <c r="S269" s="127">
        <v>2300</v>
      </c>
      <c r="T269" s="127">
        <v>2300</v>
      </c>
      <c r="U269" s="127">
        <v>2300</v>
      </c>
      <c r="V269" s="127"/>
      <c r="W269" s="127">
        <v>2300</v>
      </c>
      <c r="X269" s="127">
        <v>2300</v>
      </c>
      <c r="Y269" s="127">
        <v>2300</v>
      </c>
      <c r="Z269" s="127">
        <v>2300</v>
      </c>
      <c r="AA269" s="127">
        <v>2300</v>
      </c>
      <c r="AB269" s="127">
        <v>2300</v>
      </c>
      <c r="AC269" s="127">
        <v>2300</v>
      </c>
      <c r="AD269" s="127"/>
      <c r="AE269" s="127"/>
      <c r="AF269" s="127"/>
      <c r="AG269" s="127">
        <v>0</v>
      </c>
      <c r="AH269" s="127"/>
      <c r="AI269" s="127"/>
      <c r="AJ269" s="127"/>
      <c r="AK269" s="127">
        <v>0</v>
      </c>
      <c r="AL269" s="127"/>
      <c r="AM269" s="127"/>
      <c r="AN269" s="127"/>
      <c r="AO269" s="127">
        <v>0</v>
      </c>
      <c r="AP269" s="127"/>
      <c r="AQ269" s="127"/>
      <c r="AR269" s="127"/>
      <c r="AS269" s="127"/>
      <c r="AT269" s="127">
        <v>0</v>
      </c>
      <c r="AU269" s="127"/>
      <c r="AV269" s="127"/>
      <c r="AW269" s="127"/>
      <c r="AX269" s="127">
        <v>0</v>
      </c>
      <c r="AY269" s="127"/>
      <c r="AZ269" s="127"/>
      <c r="BA269" s="127"/>
      <c r="BB269" s="127">
        <v>0</v>
      </c>
      <c r="BC269" s="127"/>
      <c r="BD269" s="127"/>
      <c r="BE269" s="127"/>
      <c r="BF269" s="127"/>
      <c r="BG269" s="127">
        <v>0</v>
      </c>
      <c r="BH269" s="127"/>
      <c r="BI269" s="127"/>
      <c r="BJ269" s="127"/>
      <c r="BK269" s="127">
        <v>0</v>
      </c>
      <c r="BL269" s="127"/>
      <c r="BM269" s="127"/>
      <c r="BN269" s="127"/>
      <c r="BO269" s="127"/>
      <c r="BP269" s="127" t="s">
        <v>1275</v>
      </c>
      <c r="BQ269" s="127" t="s">
        <v>786</v>
      </c>
      <c r="BR269" s="127" t="s">
        <v>1276</v>
      </c>
      <c r="BS269" s="127" t="s">
        <v>1277</v>
      </c>
      <c r="BT269" s="127" t="s">
        <v>188</v>
      </c>
      <c r="BU269" s="127" t="s">
        <v>189</v>
      </c>
      <c r="BV269" s="127" t="s">
        <v>1278</v>
      </c>
      <c r="BW269" s="127" t="s">
        <v>191</v>
      </c>
      <c r="BX269" s="127" t="s">
        <v>305</v>
      </c>
      <c r="BY269" s="127" t="s">
        <v>596</v>
      </c>
      <c r="BZ269" s="128" t="s">
        <v>1279</v>
      </c>
    </row>
    <row r="270" spans="2:78" s="121" customFormat="1" outlineLevel="2">
      <c r="B270" s="121" t="s">
        <v>849</v>
      </c>
      <c r="C270" s="121" t="s">
        <v>1237</v>
      </c>
      <c r="D270" s="121" t="s">
        <v>177</v>
      </c>
      <c r="F270" s="107" t="s">
        <v>231</v>
      </c>
      <c r="H270" s="122" t="s">
        <v>1273</v>
      </c>
      <c r="I270" s="123" t="s">
        <v>972</v>
      </c>
      <c r="J270" s="124"/>
      <c r="K270" s="124" t="s">
        <v>1274</v>
      </c>
      <c r="L270" s="124" t="s">
        <v>1244</v>
      </c>
      <c r="M270" s="125" t="s">
        <v>183</v>
      </c>
      <c r="N270" s="126">
        <f t="shared" si="33"/>
        <v>38500</v>
      </c>
      <c r="O270" s="127">
        <v>1100</v>
      </c>
      <c r="P270" s="127">
        <v>3300</v>
      </c>
      <c r="Q270" s="127">
        <v>3300</v>
      </c>
      <c r="R270" s="127">
        <v>3300</v>
      </c>
      <c r="S270" s="127">
        <v>3300</v>
      </c>
      <c r="T270" s="127">
        <v>3300</v>
      </c>
      <c r="U270" s="127">
        <v>3300</v>
      </c>
      <c r="V270" s="127">
        <v>3300</v>
      </c>
      <c r="W270" s="127">
        <v>3300</v>
      </c>
      <c r="X270" s="127">
        <v>3300</v>
      </c>
      <c r="Y270" s="127">
        <v>3300</v>
      </c>
      <c r="Z270" s="127">
        <v>3300</v>
      </c>
      <c r="AA270" s="127">
        <v>1100</v>
      </c>
      <c r="AB270" s="127"/>
      <c r="AC270" s="127"/>
      <c r="AD270" s="127"/>
      <c r="AE270" s="127"/>
      <c r="AF270" s="127"/>
      <c r="AG270" s="127">
        <v>0</v>
      </c>
      <c r="AH270" s="127"/>
      <c r="AI270" s="127"/>
      <c r="AJ270" s="127"/>
      <c r="AK270" s="127">
        <v>0</v>
      </c>
      <c r="AL270" s="127"/>
      <c r="AM270" s="127"/>
      <c r="AN270" s="127"/>
      <c r="AO270" s="127">
        <v>0</v>
      </c>
      <c r="AP270" s="127"/>
      <c r="AQ270" s="127"/>
      <c r="AR270" s="127"/>
      <c r="AS270" s="127"/>
      <c r="AT270" s="127">
        <v>0</v>
      </c>
      <c r="AU270" s="127"/>
      <c r="AV270" s="127"/>
      <c r="AW270" s="127"/>
      <c r="AX270" s="127">
        <v>0</v>
      </c>
      <c r="AY270" s="127"/>
      <c r="AZ270" s="127"/>
      <c r="BA270" s="127"/>
      <c r="BB270" s="127">
        <v>0</v>
      </c>
      <c r="BC270" s="127"/>
      <c r="BD270" s="127"/>
      <c r="BE270" s="127"/>
      <c r="BF270" s="127"/>
      <c r="BG270" s="127">
        <v>0</v>
      </c>
      <c r="BH270" s="127"/>
      <c r="BI270" s="127"/>
      <c r="BJ270" s="127"/>
      <c r="BK270" s="127">
        <v>0</v>
      </c>
      <c r="BL270" s="127"/>
      <c r="BM270" s="127"/>
      <c r="BN270" s="127"/>
      <c r="BO270" s="127"/>
      <c r="BP270" s="127" t="s">
        <v>1275</v>
      </c>
      <c r="BQ270" s="127" t="s">
        <v>786</v>
      </c>
      <c r="BR270" s="127" t="s">
        <v>1276</v>
      </c>
      <c r="BS270" s="127" t="s">
        <v>1277</v>
      </c>
      <c r="BT270" s="127" t="s">
        <v>188</v>
      </c>
      <c r="BU270" s="127" t="s">
        <v>189</v>
      </c>
      <c r="BV270" s="127" t="s">
        <v>1278</v>
      </c>
      <c r="BW270" s="127" t="s">
        <v>191</v>
      </c>
      <c r="BX270" s="127" t="s">
        <v>305</v>
      </c>
      <c r="BY270" s="127" t="s">
        <v>596</v>
      </c>
      <c r="BZ270" s="128" t="s">
        <v>1279</v>
      </c>
    </row>
    <row r="271" spans="2:78" s="121" customFormat="1" outlineLevel="2">
      <c r="B271" s="121" t="s">
        <v>849</v>
      </c>
      <c r="C271" s="121" t="s">
        <v>1237</v>
      </c>
      <c r="D271" s="121" t="s">
        <v>177</v>
      </c>
      <c r="F271" s="107" t="s">
        <v>231</v>
      </c>
      <c r="G271" s="107" t="s">
        <v>199</v>
      </c>
      <c r="H271" s="122" t="s">
        <v>1280</v>
      </c>
      <c r="I271" s="123" t="s">
        <v>370</v>
      </c>
      <c r="J271" s="124"/>
      <c r="K271" s="124" t="s">
        <v>1281</v>
      </c>
      <c r="L271" s="124" t="s">
        <v>666</v>
      </c>
      <c r="M271" s="125" t="s">
        <v>183</v>
      </c>
      <c r="N271" s="126">
        <f t="shared" si="33"/>
        <v>19800</v>
      </c>
      <c r="O271" s="127">
        <v>0</v>
      </c>
      <c r="P271" s="127"/>
      <c r="Q271" s="127"/>
      <c r="R271" s="127"/>
      <c r="S271" s="127"/>
      <c r="T271" s="127">
        <v>0</v>
      </c>
      <c r="U271" s="127"/>
      <c r="V271" s="127"/>
      <c r="W271" s="127">
        <v>2200</v>
      </c>
      <c r="X271" s="127">
        <v>2200</v>
      </c>
      <c r="Y271" s="127">
        <v>2200</v>
      </c>
      <c r="Z271" s="127">
        <v>2200</v>
      </c>
      <c r="AA271" s="127">
        <v>2200</v>
      </c>
      <c r="AB271" s="127">
        <v>2200</v>
      </c>
      <c r="AC271" s="127">
        <v>2200</v>
      </c>
      <c r="AD271" s="127">
        <v>2200</v>
      </c>
      <c r="AE271" s="127">
        <v>2200</v>
      </c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>
        <v>0</v>
      </c>
      <c r="AU271" s="127"/>
      <c r="AV271" s="127"/>
      <c r="AW271" s="127"/>
      <c r="AX271" s="127">
        <v>0</v>
      </c>
      <c r="AY271" s="127"/>
      <c r="AZ271" s="127"/>
      <c r="BA271" s="127"/>
      <c r="BB271" s="127">
        <v>0</v>
      </c>
      <c r="BC271" s="127"/>
      <c r="BD271" s="127"/>
      <c r="BE271" s="127"/>
      <c r="BF271" s="127"/>
      <c r="BG271" s="127">
        <v>0</v>
      </c>
      <c r="BH271" s="127"/>
      <c r="BI271" s="127"/>
      <c r="BJ271" s="127"/>
      <c r="BK271" s="127">
        <v>0</v>
      </c>
      <c r="BL271" s="127"/>
      <c r="BM271" s="127"/>
      <c r="BN271" s="127"/>
      <c r="BO271" s="127"/>
      <c r="BP271" s="127" t="s">
        <v>1282</v>
      </c>
      <c r="BQ271" s="127" t="s">
        <v>1283</v>
      </c>
      <c r="BR271" s="127" t="s">
        <v>1284</v>
      </c>
      <c r="BS271" s="127" t="s">
        <v>1285</v>
      </c>
      <c r="BT271" s="127" t="s">
        <v>239</v>
      </c>
      <c r="BU271" s="127" t="s">
        <v>997</v>
      </c>
      <c r="BV271" s="127" t="s">
        <v>190</v>
      </c>
      <c r="BW271" s="127" t="s">
        <v>191</v>
      </c>
      <c r="BX271" s="127" t="s">
        <v>998</v>
      </c>
      <c r="BY271" s="127" t="s">
        <v>1286</v>
      </c>
      <c r="BZ271" s="128" t="s">
        <v>1279</v>
      </c>
    </row>
    <row r="272" spans="2:78" s="121" customFormat="1" outlineLevel="2">
      <c r="B272" s="121" t="s">
        <v>849</v>
      </c>
      <c r="C272" s="121" t="s">
        <v>1237</v>
      </c>
      <c r="D272" s="121" t="s">
        <v>195</v>
      </c>
      <c r="F272" s="107" t="s">
        <v>231</v>
      </c>
      <c r="G272" s="107" t="s">
        <v>199</v>
      </c>
      <c r="H272" s="122" t="s">
        <v>1280</v>
      </c>
      <c r="I272" s="123" t="s">
        <v>370</v>
      </c>
      <c r="J272" s="124"/>
      <c r="K272" s="124" t="s">
        <v>1281</v>
      </c>
      <c r="L272" s="124" t="s">
        <v>666</v>
      </c>
      <c r="M272" s="125" t="s">
        <v>183</v>
      </c>
      <c r="N272" s="126">
        <f t="shared" si="33"/>
        <v>47000</v>
      </c>
      <c r="O272" s="127">
        <v>0</v>
      </c>
      <c r="P272" s="127"/>
      <c r="Q272" s="127"/>
      <c r="R272" s="127"/>
      <c r="S272" s="127"/>
      <c r="T272" s="127">
        <v>0</v>
      </c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>
        <v>4700</v>
      </c>
      <c r="AG272" s="127">
        <v>4700</v>
      </c>
      <c r="AH272" s="127">
        <v>4700</v>
      </c>
      <c r="AI272" s="127">
        <v>4700</v>
      </c>
      <c r="AJ272" s="127">
        <v>4700</v>
      </c>
      <c r="AK272" s="127">
        <v>4700</v>
      </c>
      <c r="AL272" s="127">
        <v>4700</v>
      </c>
      <c r="AM272" s="127">
        <v>4700</v>
      </c>
      <c r="AN272" s="127">
        <v>4700</v>
      </c>
      <c r="AO272" s="127">
        <v>4700</v>
      </c>
      <c r="AP272" s="127"/>
      <c r="AQ272" s="127"/>
      <c r="AR272" s="127"/>
      <c r="AS272" s="127"/>
      <c r="AT272" s="127">
        <v>0</v>
      </c>
      <c r="AU272" s="127"/>
      <c r="AV272" s="127"/>
      <c r="AW272" s="127"/>
      <c r="AX272" s="127">
        <v>0</v>
      </c>
      <c r="AY272" s="127"/>
      <c r="AZ272" s="127"/>
      <c r="BA272" s="127"/>
      <c r="BB272" s="127">
        <v>0</v>
      </c>
      <c r="BC272" s="127"/>
      <c r="BD272" s="127"/>
      <c r="BE272" s="127"/>
      <c r="BF272" s="127"/>
      <c r="BG272" s="127">
        <v>0</v>
      </c>
      <c r="BH272" s="127"/>
      <c r="BI272" s="127"/>
      <c r="BJ272" s="127"/>
      <c r="BK272" s="127">
        <v>0</v>
      </c>
      <c r="BL272" s="127"/>
      <c r="BM272" s="127"/>
      <c r="BN272" s="127"/>
      <c r="BO272" s="127"/>
      <c r="BP272" s="127" t="s">
        <v>1282</v>
      </c>
      <c r="BQ272" s="127" t="s">
        <v>1283</v>
      </c>
      <c r="BR272" s="127" t="s">
        <v>1284</v>
      </c>
      <c r="BS272" s="127" t="s">
        <v>1285</v>
      </c>
      <c r="BT272" s="127" t="s">
        <v>239</v>
      </c>
      <c r="BU272" s="127" t="s">
        <v>997</v>
      </c>
      <c r="BV272" s="127" t="s">
        <v>190</v>
      </c>
      <c r="BW272" s="127" t="s">
        <v>191</v>
      </c>
      <c r="BX272" s="127" t="s">
        <v>998</v>
      </c>
      <c r="BY272" s="127" t="s">
        <v>1286</v>
      </c>
      <c r="BZ272" s="128" t="s">
        <v>1279</v>
      </c>
    </row>
    <row r="273" spans="2:78" s="121" customFormat="1" outlineLevel="2">
      <c r="B273" s="121" t="s">
        <v>849</v>
      </c>
      <c r="C273" s="121" t="s">
        <v>1237</v>
      </c>
      <c r="D273" s="107" t="s">
        <v>198</v>
      </c>
      <c r="E273" s="148" t="s">
        <v>1287</v>
      </c>
      <c r="F273" s="107" t="s">
        <v>88</v>
      </c>
      <c r="H273" s="122" t="s">
        <v>1209</v>
      </c>
      <c r="I273" s="124"/>
      <c r="J273" s="124"/>
      <c r="K273" s="124" t="s">
        <v>1259</v>
      </c>
      <c r="L273" s="124" t="s">
        <v>687</v>
      </c>
      <c r="M273" s="125" t="s">
        <v>183</v>
      </c>
      <c r="N273" s="126">
        <f t="shared" si="33"/>
        <v>1200</v>
      </c>
      <c r="O273" s="127"/>
      <c r="P273" s="127"/>
      <c r="Q273" s="127"/>
      <c r="R273" s="127"/>
      <c r="S273" s="127"/>
      <c r="T273" s="127">
        <v>0</v>
      </c>
      <c r="U273" s="127"/>
      <c r="V273" s="127"/>
      <c r="W273" s="127"/>
      <c r="X273" s="127">
        <v>0</v>
      </c>
      <c r="Y273" s="127"/>
      <c r="Z273" s="127">
        <v>1200</v>
      </c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>
        <v>0</v>
      </c>
      <c r="AL273" s="127"/>
      <c r="AM273" s="127"/>
      <c r="AN273" s="127"/>
      <c r="AO273" s="127">
        <v>0</v>
      </c>
      <c r="AP273" s="127"/>
      <c r="AQ273" s="127"/>
      <c r="AR273" s="127"/>
      <c r="AS273" s="127"/>
      <c r="AT273" s="127">
        <v>0</v>
      </c>
      <c r="AU273" s="127"/>
      <c r="AV273" s="127"/>
      <c r="AW273" s="127"/>
      <c r="AX273" s="127">
        <v>0</v>
      </c>
      <c r="AY273" s="127"/>
      <c r="AZ273" s="127"/>
      <c r="BA273" s="127"/>
      <c r="BB273" s="127">
        <v>0</v>
      </c>
      <c r="BC273" s="127"/>
      <c r="BD273" s="127"/>
      <c r="BE273" s="127"/>
      <c r="BF273" s="127"/>
      <c r="BG273" s="127">
        <v>0</v>
      </c>
      <c r="BH273" s="127"/>
      <c r="BI273" s="127"/>
      <c r="BJ273" s="127"/>
      <c r="BK273" s="127">
        <v>0</v>
      </c>
      <c r="BL273" s="127"/>
      <c r="BM273" s="127"/>
      <c r="BN273" s="127"/>
      <c r="BO273" s="127"/>
      <c r="BP273" s="127" t="s">
        <v>1211</v>
      </c>
      <c r="BQ273" s="127" t="s">
        <v>1212</v>
      </c>
      <c r="BR273" s="127" t="s">
        <v>1213</v>
      </c>
      <c r="BS273" s="127" t="s">
        <v>1214</v>
      </c>
      <c r="BT273" s="127" t="s">
        <v>188</v>
      </c>
      <c r="BU273" s="127" t="s">
        <v>189</v>
      </c>
      <c r="BV273" s="127" t="s">
        <v>229</v>
      </c>
      <c r="BW273" s="127" t="s">
        <v>343</v>
      </c>
      <c r="BX273" s="127" t="s">
        <v>189</v>
      </c>
      <c r="BY273" s="127" t="s">
        <v>189</v>
      </c>
      <c r="BZ273" s="131" t="s">
        <v>693</v>
      </c>
    </row>
    <row r="274" spans="2:78" s="121" customFormat="1" outlineLevel="2">
      <c r="B274" s="121" t="s">
        <v>849</v>
      </c>
      <c r="C274" s="121" t="s">
        <v>1237</v>
      </c>
      <c r="D274" s="107" t="s">
        <v>195</v>
      </c>
      <c r="F274" s="107" t="s">
        <v>88</v>
      </c>
      <c r="G274" s="107" t="s">
        <v>199</v>
      </c>
      <c r="H274" s="122" t="s">
        <v>850</v>
      </c>
      <c r="I274" s="124" t="s">
        <v>571</v>
      </c>
      <c r="J274" s="124"/>
      <c r="K274" s="124" t="s">
        <v>1281</v>
      </c>
      <c r="L274" s="124" t="s">
        <v>666</v>
      </c>
      <c r="M274" s="125" t="s">
        <v>183</v>
      </c>
      <c r="N274" s="126">
        <f t="shared" si="33"/>
        <v>10800</v>
      </c>
      <c r="O274" s="127">
        <v>0</v>
      </c>
      <c r="P274" s="127"/>
      <c r="Q274" s="127"/>
      <c r="R274" s="127"/>
      <c r="S274" s="127"/>
      <c r="T274" s="127">
        <v>0</v>
      </c>
      <c r="U274" s="127"/>
      <c r="V274" s="127"/>
      <c r="W274" s="127"/>
      <c r="X274" s="127">
        <v>0</v>
      </c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>
        <v>1200</v>
      </c>
      <c r="AI274" s="127"/>
      <c r="AJ274" s="127">
        <v>1200</v>
      </c>
      <c r="AK274" s="127"/>
      <c r="AL274" s="127">
        <v>1200</v>
      </c>
      <c r="AM274" s="127"/>
      <c r="AN274" s="127">
        <v>1200</v>
      </c>
      <c r="AO274" s="127">
        <v>0</v>
      </c>
      <c r="AP274" s="127">
        <v>1200</v>
      </c>
      <c r="AQ274" s="127"/>
      <c r="AR274" s="127">
        <v>1200</v>
      </c>
      <c r="AS274" s="127"/>
      <c r="AT274" s="127">
        <v>1200</v>
      </c>
      <c r="AU274" s="127"/>
      <c r="AV274" s="127">
        <v>1200</v>
      </c>
      <c r="AW274" s="127"/>
      <c r="AX274" s="127">
        <v>1200</v>
      </c>
      <c r="AY274" s="127"/>
      <c r="AZ274" s="127"/>
      <c r="BA274" s="127"/>
      <c r="BB274" s="127">
        <v>0</v>
      </c>
      <c r="BC274" s="127"/>
      <c r="BD274" s="127"/>
      <c r="BE274" s="127"/>
      <c r="BF274" s="127"/>
      <c r="BG274" s="127">
        <v>0</v>
      </c>
      <c r="BH274" s="127"/>
      <c r="BI274" s="127"/>
      <c r="BJ274" s="127"/>
      <c r="BK274" s="127">
        <v>0</v>
      </c>
      <c r="BL274" s="127"/>
      <c r="BM274" s="127"/>
      <c r="BN274" s="127"/>
      <c r="BO274" s="127"/>
      <c r="BP274" s="127" t="s">
        <v>852</v>
      </c>
      <c r="BQ274" s="127" t="s">
        <v>650</v>
      </c>
      <c r="BR274" s="127" t="s">
        <v>853</v>
      </c>
      <c r="BS274" s="127" t="s">
        <v>854</v>
      </c>
      <c r="BT274" s="127" t="s">
        <v>188</v>
      </c>
      <c r="BU274" s="127" t="s">
        <v>189</v>
      </c>
      <c r="BV274" s="127" t="s">
        <v>229</v>
      </c>
      <c r="BW274" s="127" t="s">
        <v>191</v>
      </c>
      <c r="BX274" s="127" t="s">
        <v>670</v>
      </c>
      <c r="BY274" s="127" t="s">
        <v>189</v>
      </c>
      <c r="BZ274" s="127" t="s">
        <v>855</v>
      </c>
    </row>
    <row r="275" spans="2:78" s="121" customFormat="1" ht="25.5" outlineLevel="2">
      <c r="B275" s="107" t="s">
        <v>849</v>
      </c>
      <c r="C275" s="107" t="s">
        <v>1237</v>
      </c>
      <c r="D275" s="107" t="s">
        <v>195</v>
      </c>
      <c r="F275" s="107" t="s">
        <v>88</v>
      </c>
      <c r="G275" s="160" t="s">
        <v>1180</v>
      </c>
      <c r="H275" s="122" t="s">
        <v>1181</v>
      </c>
      <c r="I275" s="124" t="s">
        <v>475</v>
      </c>
      <c r="J275" s="124"/>
      <c r="K275" s="124" t="s">
        <v>1182</v>
      </c>
      <c r="L275" s="124" t="s">
        <v>1175</v>
      </c>
      <c r="M275" s="125" t="s">
        <v>183</v>
      </c>
      <c r="N275" s="126">
        <f>SUM(O275:BO275)</f>
        <v>9000</v>
      </c>
      <c r="O275" s="127">
        <v>0</v>
      </c>
      <c r="P275" s="127"/>
      <c r="Q275" s="127"/>
      <c r="R275" s="127"/>
      <c r="S275" s="127"/>
      <c r="T275" s="127"/>
      <c r="U275" s="130">
        <v>1000</v>
      </c>
      <c r="V275" s="130">
        <v>1000</v>
      </c>
      <c r="W275" s="130">
        <v>1000</v>
      </c>
      <c r="X275" s="127"/>
      <c r="Y275" s="130">
        <v>1000</v>
      </c>
      <c r="Z275" s="127">
        <v>0</v>
      </c>
      <c r="AA275" s="130">
        <v>1000</v>
      </c>
      <c r="AB275" s="130">
        <v>1000</v>
      </c>
      <c r="AC275" s="130">
        <v>1000</v>
      </c>
      <c r="AD275" s="127"/>
      <c r="AE275" s="127"/>
      <c r="AF275" s="130">
        <v>1000</v>
      </c>
      <c r="AG275" s="130">
        <v>1000</v>
      </c>
      <c r="AH275" s="127"/>
      <c r="AI275" s="127"/>
      <c r="AJ275" s="127"/>
      <c r="AK275" s="127">
        <v>0</v>
      </c>
      <c r="AL275" s="127"/>
      <c r="AM275" s="127"/>
      <c r="AN275" s="127"/>
      <c r="AO275" s="127">
        <v>0</v>
      </c>
      <c r="AP275" s="127"/>
      <c r="AQ275" s="127"/>
      <c r="AR275" s="127"/>
      <c r="AS275" s="127"/>
      <c r="AT275" s="127">
        <v>0</v>
      </c>
      <c r="AU275" s="127"/>
      <c r="AV275" s="127"/>
      <c r="AW275" s="127"/>
      <c r="AX275" s="127">
        <v>0</v>
      </c>
      <c r="AY275" s="127"/>
      <c r="AZ275" s="127"/>
      <c r="BA275" s="127"/>
      <c r="BB275" s="127">
        <v>0</v>
      </c>
      <c r="BC275" s="127"/>
      <c r="BD275" s="127"/>
      <c r="BE275" s="127"/>
      <c r="BF275" s="127"/>
      <c r="BG275" s="127">
        <v>0</v>
      </c>
      <c r="BH275" s="127"/>
      <c r="BI275" s="127"/>
      <c r="BJ275" s="127"/>
      <c r="BK275" s="127">
        <v>0</v>
      </c>
      <c r="BL275" s="127"/>
      <c r="BM275" s="127"/>
      <c r="BN275" s="127"/>
      <c r="BO275" s="127"/>
      <c r="BP275" s="127" t="s">
        <v>1183</v>
      </c>
      <c r="BQ275" s="127" t="s">
        <v>1184</v>
      </c>
      <c r="BR275" s="127" t="s">
        <v>1185</v>
      </c>
      <c r="BS275" s="127" t="s">
        <v>600</v>
      </c>
      <c r="BT275" s="127" t="s">
        <v>188</v>
      </c>
      <c r="BU275" s="127" t="s">
        <v>1186</v>
      </c>
      <c r="BV275" s="127" t="s">
        <v>205</v>
      </c>
      <c r="BW275" s="127" t="s">
        <v>191</v>
      </c>
      <c r="BX275" s="127" t="s">
        <v>1187</v>
      </c>
      <c r="BY275" s="127" t="s">
        <v>1188</v>
      </c>
      <c r="BZ275" s="131" t="s">
        <v>1189</v>
      </c>
    </row>
    <row r="276" spans="2:78" s="121" customFormat="1" outlineLevel="2">
      <c r="B276" s="121" t="s">
        <v>849</v>
      </c>
      <c r="C276" s="121" t="s">
        <v>1237</v>
      </c>
      <c r="D276" s="107" t="s">
        <v>195</v>
      </c>
      <c r="F276" s="107" t="s">
        <v>88</v>
      </c>
      <c r="H276" s="124" t="s">
        <v>1288</v>
      </c>
      <c r="I276" s="124"/>
      <c r="J276" s="124"/>
      <c r="K276" s="124" t="s">
        <v>189</v>
      </c>
      <c r="L276" s="124" t="s">
        <v>666</v>
      </c>
      <c r="M276" s="125" t="s">
        <v>183</v>
      </c>
      <c r="N276" s="126">
        <f t="shared" si="33"/>
        <v>4306</v>
      </c>
      <c r="O276" s="127">
        <v>0</v>
      </c>
      <c r="P276" s="127"/>
      <c r="Q276" s="127"/>
      <c r="R276" s="127"/>
      <c r="S276" s="127"/>
      <c r="T276" s="154">
        <v>4306</v>
      </c>
      <c r="U276" s="127"/>
      <c r="V276" s="127"/>
      <c r="W276" s="127"/>
      <c r="X276" s="127">
        <v>0</v>
      </c>
      <c r="Y276" s="127"/>
      <c r="Z276" s="127"/>
      <c r="AA276" s="127"/>
      <c r="AB276" s="127">
        <v>0</v>
      </c>
      <c r="AC276" s="127"/>
      <c r="AD276" s="127"/>
      <c r="AE276" s="127"/>
      <c r="AF276" s="127"/>
      <c r="AG276" s="127">
        <v>0</v>
      </c>
      <c r="AH276" s="127"/>
      <c r="AI276" s="127"/>
      <c r="AJ276" s="127"/>
      <c r="AK276" s="127">
        <v>0</v>
      </c>
      <c r="AL276" s="127"/>
      <c r="AM276" s="127"/>
      <c r="AN276" s="127"/>
      <c r="AO276" s="127">
        <v>0</v>
      </c>
      <c r="AP276" s="127"/>
      <c r="AQ276" s="127"/>
      <c r="AR276" s="127"/>
      <c r="AS276" s="127"/>
      <c r="AT276" s="127">
        <v>0</v>
      </c>
      <c r="AU276" s="127"/>
      <c r="AV276" s="127"/>
      <c r="AW276" s="127"/>
      <c r="AX276" s="127">
        <v>0</v>
      </c>
      <c r="AY276" s="127"/>
      <c r="AZ276" s="127"/>
      <c r="BA276" s="127"/>
      <c r="BB276" s="127">
        <v>0</v>
      </c>
      <c r="BC276" s="127"/>
      <c r="BD276" s="127"/>
      <c r="BE276" s="127"/>
      <c r="BF276" s="127"/>
      <c r="BG276" s="127">
        <v>0</v>
      </c>
      <c r="BH276" s="127"/>
      <c r="BI276" s="127"/>
      <c r="BJ276" s="127"/>
      <c r="BK276" s="127">
        <v>0</v>
      </c>
      <c r="BL276" s="127"/>
      <c r="BM276" s="127"/>
      <c r="BN276" s="127"/>
      <c r="BO276" s="127"/>
      <c r="BP276" s="127" t="s">
        <v>1289</v>
      </c>
      <c r="BQ276" s="127" t="s">
        <v>1290</v>
      </c>
      <c r="BR276" s="127" t="s">
        <v>1291</v>
      </c>
      <c r="BS276" s="127" t="s">
        <v>1292</v>
      </c>
      <c r="BT276" s="127" t="s">
        <v>188</v>
      </c>
      <c r="BU276" s="127" t="s">
        <v>1293</v>
      </c>
      <c r="BV276" s="127" t="s">
        <v>188</v>
      </c>
      <c r="BW276" s="127" t="s">
        <v>343</v>
      </c>
      <c r="BX276" s="127" t="s">
        <v>691</v>
      </c>
      <c r="BY276" s="127" t="s">
        <v>692</v>
      </c>
      <c r="BZ276" s="127" t="s">
        <v>672</v>
      </c>
    </row>
    <row r="277" spans="2:78" s="121" customFormat="1" outlineLevel="2">
      <c r="B277" s="121" t="s">
        <v>849</v>
      </c>
      <c r="C277" s="121" t="s">
        <v>1237</v>
      </c>
      <c r="D277" s="107" t="s">
        <v>198</v>
      </c>
      <c r="F277" s="107" t="s">
        <v>88</v>
      </c>
      <c r="G277" s="107" t="s">
        <v>388</v>
      </c>
      <c r="H277" s="124" t="s">
        <v>1173</v>
      </c>
      <c r="I277" s="124"/>
      <c r="J277" s="124"/>
      <c r="K277" s="124" t="s">
        <v>1174</v>
      </c>
      <c r="L277" s="124" t="s">
        <v>1175</v>
      </c>
      <c r="M277" s="125" t="s">
        <v>183</v>
      </c>
      <c r="N277" s="126">
        <f t="shared" si="33"/>
        <v>0</v>
      </c>
      <c r="O277" s="127">
        <v>0</v>
      </c>
      <c r="P277" s="127"/>
      <c r="Q277" s="127"/>
      <c r="R277" s="127"/>
      <c r="S277" s="127"/>
      <c r="T277" s="127">
        <v>0</v>
      </c>
      <c r="U277" s="127"/>
      <c r="V277" s="127"/>
      <c r="W277" s="127"/>
      <c r="X277" s="127">
        <v>0</v>
      </c>
      <c r="Y277" s="127"/>
      <c r="Z277" s="127"/>
      <c r="AA277" s="127"/>
      <c r="AB277" s="127">
        <v>0</v>
      </c>
      <c r="AC277" s="127"/>
      <c r="AD277" s="127"/>
      <c r="AE277" s="127"/>
      <c r="AF277" s="127"/>
      <c r="AG277" s="127">
        <v>0</v>
      </c>
      <c r="AH277" s="127"/>
      <c r="AI277" s="127"/>
      <c r="AJ277" s="127"/>
      <c r="AK277" s="127">
        <v>0</v>
      </c>
      <c r="AL277" s="127"/>
      <c r="AM277" s="127"/>
      <c r="AN277" s="127"/>
      <c r="AO277" s="127">
        <v>0</v>
      </c>
      <c r="AP277" s="127"/>
      <c r="AQ277" s="127"/>
      <c r="AR277" s="127"/>
      <c r="AS277" s="127"/>
      <c r="AT277" s="127">
        <v>0</v>
      </c>
      <c r="AU277" s="127"/>
      <c r="AV277" s="127"/>
      <c r="AW277" s="127"/>
      <c r="AX277" s="127">
        <v>0</v>
      </c>
      <c r="AY277" s="127"/>
      <c r="AZ277" s="127"/>
      <c r="BA277" s="127"/>
      <c r="BB277" s="127">
        <v>0</v>
      </c>
      <c r="BC277" s="127"/>
      <c r="BD277" s="127"/>
      <c r="BE277" s="127"/>
      <c r="BF277" s="127"/>
      <c r="BG277" s="127">
        <v>0</v>
      </c>
      <c r="BH277" s="127"/>
      <c r="BI277" s="127"/>
      <c r="BJ277" s="127"/>
      <c r="BK277" s="127">
        <v>0</v>
      </c>
      <c r="BL277" s="127"/>
      <c r="BM277" s="127"/>
      <c r="BN277" s="127"/>
      <c r="BO277" s="127"/>
      <c r="BP277" s="127" t="s">
        <v>1176</v>
      </c>
      <c r="BQ277" s="127" t="s">
        <v>189</v>
      </c>
      <c r="BR277" s="127" t="s">
        <v>189</v>
      </c>
      <c r="BS277" s="127" t="s">
        <v>189</v>
      </c>
      <c r="BT277" s="127" t="s">
        <v>188</v>
      </c>
      <c r="BU277" s="127" t="s">
        <v>189</v>
      </c>
      <c r="BV277" s="127" t="s">
        <v>188</v>
      </c>
      <c r="BW277" s="127" t="s">
        <v>191</v>
      </c>
      <c r="BX277" s="127" t="s">
        <v>1177</v>
      </c>
      <c r="BY277" s="127" t="s">
        <v>1178</v>
      </c>
      <c r="BZ277" s="128" t="s">
        <v>1179</v>
      </c>
    </row>
    <row r="278" spans="2:78" s="121" customFormat="1" outlineLevel="2">
      <c r="B278" s="121" t="s">
        <v>849</v>
      </c>
      <c r="C278" s="121" t="s">
        <v>1237</v>
      </c>
      <c r="D278" s="107"/>
      <c r="E278" s="121" t="s">
        <v>1294</v>
      </c>
      <c r="F278" s="107" t="s">
        <v>89</v>
      </c>
      <c r="G278" s="107" t="s">
        <v>199</v>
      </c>
      <c r="H278" s="122" t="s">
        <v>1295</v>
      </c>
      <c r="I278" s="124" t="s">
        <v>436</v>
      </c>
      <c r="J278" s="124"/>
      <c r="K278" s="124" t="s">
        <v>1296</v>
      </c>
      <c r="L278" s="124" t="s">
        <v>666</v>
      </c>
      <c r="M278" s="125" t="s">
        <v>183</v>
      </c>
      <c r="N278" s="126">
        <f t="shared" si="33"/>
        <v>5000</v>
      </c>
      <c r="O278" s="130">
        <v>500</v>
      </c>
      <c r="P278" s="130">
        <v>500</v>
      </c>
      <c r="Q278" s="130">
        <v>500</v>
      </c>
      <c r="R278" s="130">
        <v>500</v>
      </c>
      <c r="S278" s="130">
        <v>500</v>
      </c>
      <c r="T278" s="130">
        <v>500</v>
      </c>
      <c r="U278" s="130">
        <v>500</v>
      </c>
      <c r="V278" s="130">
        <v>500</v>
      </c>
      <c r="W278" s="130">
        <v>500</v>
      </c>
      <c r="X278" s="130">
        <v>500</v>
      </c>
      <c r="Y278" s="127"/>
      <c r="Z278" s="127"/>
      <c r="AA278" s="127"/>
      <c r="AB278" s="127"/>
      <c r="AC278" s="127"/>
      <c r="AD278" s="127"/>
      <c r="AE278" s="127"/>
      <c r="AF278" s="127"/>
      <c r="AG278" s="127">
        <v>0</v>
      </c>
      <c r="AH278" s="127"/>
      <c r="AI278" s="127"/>
      <c r="AJ278" s="127"/>
      <c r="AK278" s="127">
        <v>0</v>
      </c>
      <c r="AL278" s="127"/>
      <c r="AM278" s="127"/>
      <c r="AN278" s="127"/>
      <c r="AO278" s="127">
        <v>0</v>
      </c>
      <c r="AP278" s="127"/>
      <c r="AQ278" s="127"/>
      <c r="AR278" s="127"/>
      <c r="AS278" s="127"/>
      <c r="AT278" s="127">
        <v>0</v>
      </c>
      <c r="AU278" s="127"/>
      <c r="AV278" s="127"/>
      <c r="AW278" s="127"/>
      <c r="AX278" s="127">
        <v>0</v>
      </c>
      <c r="AY278" s="127"/>
      <c r="AZ278" s="127"/>
      <c r="BA278" s="127"/>
      <c r="BB278" s="127">
        <v>0</v>
      </c>
      <c r="BC278" s="127"/>
      <c r="BD278" s="127"/>
      <c r="BE278" s="127"/>
      <c r="BF278" s="127"/>
      <c r="BG278" s="127">
        <v>0</v>
      </c>
      <c r="BH278" s="127"/>
      <c r="BI278" s="127"/>
      <c r="BJ278" s="127"/>
      <c r="BK278" s="127">
        <v>0</v>
      </c>
      <c r="BL278" s="127"/>
      <c r="BM278" s="127"/>
      <c r="BN278" s="127"/>
      <c r="BO278" s="127"/>
      <c r="BP278" s="127" t="s">
        <v>1297</v>
      </c>
      <c r="BQ278" s="127" t="s">
        <v>1283</v>
      </c>
      <c r="BR278" s="127" t="s">
        <v>1298</v>
      </c>
      <c r="BS278" s="127" t="s">
        <v>1299</v>
      </c>
      <c r="BT278" s="127" t="s">
        <v>1088</v>
      </c>
      <c r="BU278" s="127" t="s">
        <v>499</v>
      </c>
      <c r="BV278" s="127" t="s">
        <v>304</v>
      </c>
      <c r="BW278" s="127" t="s">
        <v>191</v>
      </c>
      <c r="BX278" s="127" t="s">
        <v>828</v>
      </c>
      <c r="BY278" s="127" t="s">
        <v>1300</v>
      </c>
      <c r="BZ278" s="127" t="s">
        <v>672</v>
      </c>
    </row>
    <row r="279" spans="2:78" s="121" customFormat="1" outlineLevel="2">
      <c r="B279" s="121" t="s">
        <v>849</v>
      </c>
      <c r="C279" s="129" t="s">
        <v>1237</v>
      </c>
      <c r="D279" s="121" t="s">
        <v>195</v>
      </c>
      <c r="F279" s="121" t="s">
        <v>88</v>
      </c>
      <c r="G279" s="107" t="s">
        <v>1301</v>
      </c>
      <c r="H279" s="124" t="s">
        <v>1302</v>
      </c>
      <c r="I279" s="124" t="s">
        <v>571</v>
      </c>
      <c r="J279" s="124"/>
      <c r="K279" s="124" t="s">
        <v>1303</v>
      </c>
      <c r="L279" s="124" t="s">
        <v>1175</v>
      </c>
      <c r="M279" s="125" t="s">
        <v>183</v>
      </c>
      <c r="N279" s="126">
        <f t="shared" si="33"/>
        <v>39600</v>
      </c>
      <c r="O279" s="127">
        <v>0</v>
      </c>
      <c r="P279" s="127"/>
      <c r="Q279" s="127"/>
      <c r="R279" s="127"/>
      <c r="S279" s="127"/>
      <c r="T279" s="127">
        <v>0</v>
      </c>
      <c r="U279" s="127"/>
      <c r="V279" s="127"/>
      <c r="W279" s="127"/>
      <c r="X279" s="127">
        <v>0</v>
      </c>
      <c r="Y279" s="127"/>
      <c r="Z279" s="127"/>
      <c r="AA279" s="127"/>
      <c r="AB279" s="127">
        <v>0</v>
      </c>
      <c r="AC279" s="127"/>
      <c r="AD279" s="127"/>
      <c r="AE279" s="127"/>
      <c r="AF279" s="127"/>
      <c r="AG279" s="127">
        <v>0</v>
      </c>
      <c r="AH279" s="127"/>
      <c r="AI279" s="127"/>
      <c r="AJ279" s="127"/>
      <c r="AK279" s="127">
        <v>0</v>
      </c>
      <c r="AL279" s="127"/>
      <c r="AM279" s="127"/>
      <c r="AN279" s="127"/>
      <c r="AO279" s="127"/>
      <c r="AP279" s="127"/>
      <c r="AQ279" s="127"/>
      <c r="AR279" s="127">
        <v>1800</v>
      </c>
      <c r="AS279" s="127">
        <v>1800</v>
      </c>
      <c r="AT279" s="127">
        <v>1800</v>
      </c>
      <c r="AU279" s="127">
        <v>1800</v>
      </c>
      <c r="AV279" s="127">
        <v>1800</v>
      </c>
      <c r="AW279" s="127">
        <v>1800</v>
      </c>
      <c r="AX279" s="127">
        <v>1800</v>
      </c>
      <c r="AY279" s="127">
        <v>1800</v>
      </c>
      <c r="AZ279" s="127">
        <v>1800</v>
      </c>
      <c r="BA279" s="127">
        <v>1800</v>
      </c>
      <c r="BB279" s="127">
        <v>1800</v>
      </c>
      <c r="BC279" s="127">
        <v>1800</v>
      </c>
      <c r="BD279" s="127">
        <v>1800</v>
      </c>
      <c r="BE279" s="127">
        <v>1800</v>
      </c>
      <c r="BF279" s="127">
        <v>1800</v>
      </c>
      <c r="BG279" s="127">
        <v>1800</v>
      </c>
      <c r="BH279" s="127">
        <v>1800</v>
      </c>
      <c r="BI279" s="127">
        <v>1800</v>
      </c>
      <c r="BJ279" s="127">
        <v>1800</v>
      </c>
      <c r="BK279" s="127">
        <v>1800</v>
      </c>
      <c r="BL279" s="127">
        <v>1800</v>
      </c>
      <c r="BM279" s="127">
        <v>1800</v>
      </c>
      <c r="BN279" s="127"/>
      <c r="BO279" s="127"/>
      <c r="BP279" s="127" t="s">
        <v>1304</v>
      </c>
      <c r="BQ279" s="127" t="s">
        <v>1305</v>
      </c>
      <c r="BR279" s="127" t="s">
        <v>1306</v>
      </c>
      <c r="BS279" s="127" t="s">
        <v>1307</v>
      </c>
      <c r="BT279" s="127" t="s">
        <v>188</v>
      </c>
      <c r="BU279" s="127" t="s">
        <v>189</v>
      </c>
      <c r="BV279" s="127" t="s">
        <v>229</v>
      </c>
      <c r="BW279" s="127" t="s">
        <v>191</v>
      </c>
      <c r="BX279" s="127" t="s">
        <v>320</v>
      </c>
      <c r="BY279" s="127" t="s">
        <v>189</v>
      </c>
      <c r="BZ279" s="127" t="s">
        <v>189</v>
      </c>
    </row>
    <row r="280" spans="2:78" s="121" customFormat="1" outlineLevel="2">
      <c r="B280" s="121" t="s">
        <v>849</v>
      </c>
      <c r="C280" s="129" t="s">
        <v>1237</v>
      </c>
      <c r="D280" s="121" t="s">
        <v>195</v>
      </c>
      <c r="F280" s="121" t="s">
        <v>88</v>
      </c>
      <c r="H280" s="124" t="s">
        <v>1302</v>
      </c>
      <c r="I280" s="124" t="s">
        <v>571</v>
      </c>
      <c r="J280" s="124"/>
      <c r="K280" s="124" t="s">
        <v>1308</v>
      </c>
      <c r="L280" s="124" t="s">
        <v>1175</v>
      </c>
      <c r="M280" s="125" t="s">
        <v>183</v>
      </c>
      <c r="N280" s="126">
        <f>SUM(O280:BO280)</f>
        <v>14000</v>
      </c>
      <c r="O280" s="127">
        <v>0</v>
      </c>
      <c r="P280" s="127"/>
      <c r="Q280" s="127"/>
      <c r="R280" s="127"/>
      <c r="S280" s="127"/>
      <c r="T280" s="127">
        <v>0</v>
      </c>
      <c r="U280" s="127"/>
      <c r="V280" s="127"/>
      <c r="W280" s="127"/>
      <c r="X280" s="127">
        <v>0</v>
      </c>
      <c r="Y280" s="127"/>
      <c r="Z280" s="127"/>
      <c r="AA280" s="127"/>
      <c r="AB280" s="127">
        <v>0</v>
      </c>
      <c r="AC280" s="127"/>
      <c r="AD280" s="127"/>
      <c r="AE280" s="127"/>
      <c r="AF280" s="127"/>
      <c r="AG280" s="127">
        <v>0</v>
      </c>
      <c r="AH280" s="127"/>
      <c r="AI280" s="127"/>
      <c r="AJ280" s="127">
        <v>900</v>
      </c>
      <c r="AK280" s="127">
        <v>900</v>
      </c>
      <c r="AL280" s="127">
        <v>900</v>
      </c>
      <c r="AM280" s="127">
        <v>900</v>
      </c>
      <c r="AN280" s="127">
        <v>900</v>
      </c>
      <c r="AO280" s="127">
        <v>900</v>
      </c>
      <c r="AP280" s="127">
        <v>900</v>
      </c>
      <c r="AQ280" s="127">
        <v>900</v>
      </c>
      <c r="AR280" s="127">
        <v>900</v>
      </c>
      <c r="AS280" s="127">
        <v>900</v>
      </c>
      <c r="AT280" s="127">
        <v>900</v>
      </c>
      <c r="AU280" s="127">
        <v>900</v>
      </c>
      <c r="AV280" s="127">
        <v>800</v>
      </c>
      <c r="AW280" s="127">
        <v>800</v>
      </c>
      <c r="AX280" s="127">
        <v>800</v>
      </c>
      <c r="AY280" s="127">
        <v>800</v>
      </c>
      <c r="AZ280" s="127"/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7"/>
      <c r="BM280" s="127"/>
      <c r="BN280" s="127"/>
      <c r="BO280" s="127"/>
      <c r="BP280" s="127" t="s">
        <v>1304</v>
      </c>
      <c r="BQ280" s="127" t="s">
        <v>1305</v>
      </c>
      <c r="BR280" s="127" t="s">
        <v>1306</v>
      </c>
      <c r="BS280" s="127" t="s">
        <v>1307</v>
      </c>
      <c r="BT280" s="127" t="s">
        <v>188</v>
      </c>
      <c r="BU280" s="127" t="s">
        <v>189</v>
      </c>
      <c r="BV280" s="127" t="s">
        <v>229</v>
      </c>
      <c r="BW280" s="127" t="s">
        <v>191</v>
      </c>
      <c r="BX280" s="127" t="s">
        <v>320</v>
      </c>
      <c r="BY280" s="127" t="s">
        <v>189</v>
      </c>
      <c r="BZ280" s="127" t="s">
        <v>189</v>
      </c>
    </row>
    <row r="281" spans="2:78" s="121" customFormat="1" outlineLevel="2">
      <c r="B281" s="121" t="s">
        <v>849</v>
      </c>
      <c r="C281" s="129" t="s">
        <v>1237</v>
      </c>
      <c r="D281" s="121" t="s">
        <v>195</v>
      </c>
      <c r="F281" s="121" t="s">
        <v>88</v>
      </c>
      <c r="G281" s="121" t="s">
        <v>434</v>
      </c>
      <c r="H281" s="122" t="s">
        <v>1309</v>
      </c>
      <c r="I281" s="124"/>
      <c r="J281" s="124"/>
      <c r="K281" s="124" t="s">
        <v>1303</v>
      </c>
      <c r="L281" s="124" t="s">
        <v>1175</v>
      </c>
      <c r="M281" s="125" t="s">
        <v>183</v>
      </c>
      <c r="N281" s="126">
        <f t="shared" si="33"/>
        <v>0</v>
      </c>
      <c r="O281" s="127">
        <v>0</v>
      </c>
      <c r="P281" s="127"/>
      <c r="Q281" s="127"/>
      <c r="R281" s="127"/>
      <c r="S281" s="127"/>
      <c r="T281" s="127">
        <v>0</v>
      </c>
      <c r="U281" s="127"/>
      <c r="V281" s="127"/>
      <c r="W281" s="127"/>
      <c r="X281" s="127">
        <v>0</v>
      </c>
      <c r="Y281" s="127"/>
      <c r="Z281" s="127"/>
      <c r="AA281" s="127"/>
      <c r="AB281" s="127">
        <v>0</v>
      </c>
      <c r="AC281" s="127"/>
      <c r="AD281" s="127"/>
      <c r="AE281" s="127"/>
      <c r="AF281" s="127"/>
      <c r="AG281" s="127">
        <v>0</v>
      </c>
      <c r="AH281" s="127"/>
      <c r="AI281" s="127"/>
      <c r="AJ281" s="127"/>
      <c r="AK281" s="127">
        <v>0</v>
      </c>
      <c r="AL281" s="127"/>
      <c r="AM281" s="127"/>
      <c r="AN281" s="127"/>
      <c r="AO281" s="127">
        <v>0</v>
      </c>
      <c r="AP281" s="127"/>
      <c r="AQ281" s="127"/>
      <c r="AR281" s="127"/>
      <c r="AS281" s="127"/>
      <c r="AT281" s="127">
        <v>0</v>
      </c>
      <c r="AU281" s="127"/>
      <c r="AV281" s="127"/>
      <c r="AW281" s="127"/>
      <c r="AX281" s="127">
        <v>0</v>
      </c>
      <c r="AY281" s="127"/>
      <c r="AZ281" s="127"/>
      <c r="BA281" s="127"/>
      <c r="BB281" s="127">
        <v>0</v>
      </c>
      <c r="BC281" s="127"/>
      <c r="BD281" s="127"/>
      <c r="BE281" s="127"/>
      <c r="BF281" s="127"/>
      <c r="BG281" s="127">
        <v>0</v>
      </c>
      <c r="BH281" s="127"/>
      <c r="BI281" s="127"/>
      <c r="BJ281" s="127"/>
      <c r="BK281" s="127">
        <v>0</v>
      </c>
      <c r="BL281" s="127"/>
      <c r="BM281" s="127"/>
      <c r="BN281" s="127"/>
      <c r="BO281" s="127"/>
      <c r="BP281" s="127" t="s">
        <v>1310</v>
      </c>
      <c r="BQ281" s="127" t="s">
        <v>1305</v>
      </c>
      <c r="BR281" s="127" t="s">
        <v>1311</v>
      </c>
      <c r="BS281" s="127" t="s">
        <v>1312</v>
      </c>
      <c r="BT281" s="127" t="s">
        <v>188</v>
      </c>
      <c r="BU281" s="127" t="s">
        <v>189</v>
      </c>
      <c r="BV281" s="127" t="s">
        <v>229</v>
      </c>
      <c r="BW281" s="127" t="s">
        <v>191</v>
      </c>
      <c r="BX281" s="127" t="s">
        <v>189</v>
      </c>
      <c r="BY281" s="127" t="s">
        <v>189</v>
      </c>
      <c r="BZ281" s="127" t="s">
        <v>189</v>
      </c>
    </row>
    <row r="282" spans="2:78" s="121" customFormat="1" outlineLevel="2">
      <c r="B282" s="121" t="s">
        <v>849</v>
      </c>
      <c r="C282" s="129" t="s">
        <v>1237</v>
      </c>
      <c r="D282" s="121" t="s">
        <v>1313</v>
      </c>
      <c r="F282" s="121" t="s">
        <v>88</v>
      </c>
      <c r="G282" s="107" t="s">
        <v>1314</v>
      </c>
      <c r="H282" s="122" t="s">
        <v>1315</v>
      </c>
      <c r="I282" s="124"/>
      <c r="J282" s="124"/>
      <c r="K282" s="124" t="s">
        <v>1316</v>
      </c>
      <c r="L282" s="124" t="s">
        <v>1175</v>
      </c>
      <c r="M282" s="125" t="s">
        <v>183</v>
      </c>
      <c r="N282" s="126">
        <f t="shared" si="33"/>
        <v>0</v>
      </c>
      <c r="O282" s="127">
        <v>0</v>
      </c>
      <c r="P282" s="127"/>
      <c r="Q282" s="127"/>
      <c r="R282" s="127"/>
      <c r="S282" s="127"/>
      <c r="T282" s="127">
        <v>0</v>
      </c>
      <c r="U282" s="127"/>
      <c r="V282" s="127"/>
      <c r="W282" s="127"/>
      <c r="X282" s="127">
        <v>0</v>
      </c>
      <c r="Y282" s="127"/>
      <c r="Z282" s="127"/>
      <c r="AA282" s="127"/>
      <c r="AB282" s="127">
        <v>0</v>
      </c>
      <c r="AC282" s="127"/>
      <c r="AD282" s="127"/>
      <c r="AE282" s="127"/>
      <c r="AF282" s="127"/>
      <c r="AG282" s="127">
        <v>0</v>
      </c>
      <c r="AH282" s="127"/>
      <c r="AI282" s="127"/>
      <c r="AJ282" s="127"/>
      <c r="AK282" s="127">
        <v>0</v>
      </c>
      <c r="AL282" s="127"/>
      <c r="AM282" s="127"/>
      <c r="AN282" s="127"/>
      <c r="AO282" s="127">
        <v>0</v>
      </c>
      <c r="AP282" s="127"/>
      <c r="AQ282" s="127"/>
      <c r="AR282" s="127"/>
      <c r="AS282" s="127"/>
      <c r="AT282" s="127">
        <v>0</v>
      </c>
      <c r="AU282" s="127"/>
      <c r="AV282" s="127"/>
      <c r="AW282" s="127"/>
      <c r="AX282" s="127"/>
      <c r="AY282" s="127"/>
      <c r="AZ282" s="127"/>
      <c r="BA282" s="127"/>
      <c r="BB282" s="127">
        <v>0</v>
      </c>
      <c r="BC282" s="127"/>
      <c r="BD282" s="127"/>
      <c r="BE282" s="127"/>
      <c r="BF282" s="127"/>
      <c r="BG282" s="127">
        <v>0</v>
      </c>
      <c r="BH282" s="127"/>
      <c r="BI282" s="127"/>
      <c r="BJ282" s="127"/>
      <c r="BK282" s="127">
        <v>0</v>
      </c>
      <c r="BL282" s="127"/>
      <c r="BM282" s="127"/>
      <c r="BN282" s="127"/>
      <c r="BO282" s="127"/>
      <c r="BP282" s="127" t="s">
        <v>1317</v>
      </c>
      <c r="BQ282" s="127" t="s">
        <v>1318</v>
      </c>
      <c r="BR282" s="127" t="s">
        <v>1319</v>
      </c>
      <c r="BS282" s="127" t="s">
        <v>1320</v>
      </c>
      <c r="BT282" s="127" t="s">
        <v>188</v>
      </c>
      <c r="BU282" s="127" t="s">
        <v>189</v>
      </c>
      <c r="BV282" s="127" t="s">
        <v>229</v>
      </c>
      <c r="BW282" s="127" t="s">
        <v>191</v>
      </c>
      <c r="BX282" s="127" t="s">
        <v>189</v>
      </c>
      <c r="BY282" s="127" t="s">
        <v>189</v>
      </c>
      <c r="BZ282" s="131" t="s">
        <v>1321</v>
      </c>
    </row>
    <row r="283" spans="2:78" s="121" customFormat="1" outlineLevel="2">
      <c r="B283" s="121" t="s">
        <v>849</v>
      </c>
      <c r="C283" s="129" t="s">
        <v>1237</v>
      </c>
      <c r="D283" s="145" t="s">
        <v>195</v>
      </c>
      <c r="F283" s="149" t="s">
        <v>88</v>
      </c>
      <c r="H283" s="122" t="s">
        <v>1322</v>
      </c>
      <c r="I283" s="124"/>
      <c r="J283" s="124"/>
      <c r="K283" s="124" t="s">
        <v>1323</v>
      </c>
      <c r="L283" s="124" t="s">
        <v>1175</v>
      </c>
      <c r="M283" s="125" t="s">
        <v>183</v>
      </c>
      <c r="N283" s="156">
        <f t="shared" si="33"/>
        <v>2000</v>
      </c>
      <c r="O283" s="127">
        <v>0</v>
      </c>
      <c r="P283" s="127"/>
      <c r="Q283" s="127"/>
      <c r="R283" s="127"/>
      <c r="S283" s="127"/>
      <c r="T283" s="127">
        <v>0</v>
      </c>
      <c r="U283" s="127"/>
      <c r="V283" s="127"/>
      <c r="W283" s="127"/>
      <c r="X283" s="127">
        <v>0</v>
      </c>
      <c r="Y283" s="127"/>
      <c r="Z283" s="127"/>
      <c r="AA283" s="127"/>
      <c r="AB283" s="127">
        <v>0</v>
      </c>
      <c r="AC283" s="127"/>
      <c r="AD283" s="127"/>
      <c r="AE283" s="127"/>
      <c r="AF283" s="127"/>
      <c r="AG283" s="127">
        <v>0</v>
      </c>
      <c r="AH283" s="127"/>
      <c r="AI283" s="127"/>
      <c r="AJ283" s="127"/>
      <c r="AK283" s="127">
        <v>0</v>
      </c>
      <c r="AL283" s="127"/>
      <c r="AM283" s="127"/>
      <c r="AN283" s="127"/>
      <c r="AO283" s="127">
        <v>0</v>
      </c>
      <c r="AP283" s="127"/>
      <c r="AQ283" s="127"/>
      <c r="AR283" s="127"/>
      <c r="AS283" s="127"/>
      <c r="AT283" s="127">
        <v>0</v>
      </c>
      <c r="AU283" s="127"/>
      <c r="AV283" s="127"/>
      <c r="AW283" s="127"/>
      <c r="AX283" s="127">
        <v>1000</v>
      </c>
      <c r="AY283" s="127"/>
      <c r="AZ283" s="127"/>
      <c r="BA283" s="127"/>
      <c r="BB283" s="127">
        <v>1000</v>
      </c>
      <c r="BC283" s="127"/>
      <c r="BD283" s="127"/>
      <c r="BE283" s="127"/>
      <c r="BF283" s="127"/>
      <c r="BG283" s="127">
        <v>0</v>
      </c>
      <c r="BH283" s="127"/>
      <c r="BI283" s="127"/>
      <c r="BJ283" s="127"/>
      <c r="BK283" s="127">
        <v>0</v>
      </c>
      <c r="BL283" s="127"/>
      <c r="BM283" s="127"/>
      <c r="BN283" s="127"/>
      <c r="BO283" s="127"/>
      <c r="BP283" s="127" t="s">
        <v>1324</v>
      </c>
      <c r="BQ283" s="127" t="s">
        <v>1184</v>
      </c>
      <c r="BR283" s="127" t="s">
        <v>1325</v>
      </c>
      <c r="BS283" s="127" t="s">
        <v>1326</v>
      </c>
      <c r="BT283" s="127" t="s">
        <v>188</v>
      </c>
      <c r="BU283" s="127" t="s">
        <v>189</v>
      </c>
      <c r="BV283" s="127" t="s">
        <v>1327</v>
      </c>
      <c r="BW283" s="127" t="s">
        <v>343</v>
      </c>
      <c r="BX283" s="127" t="s">
        <v>189</v>
      </c>
      <c r="BY283" s="127" t="s">
        <v>189</v>
      </c>
      <c r="BZ283" s="131" t="s">
        <v>1321</v>
      </c>
    </row>
    <row r="284" spans="2:78" s="121" customFormat="1" outlineLevel="2">
      <c r="B284" s="121" t="s">
        <v>849</v>
      </c>
      <c r="C284" s="121" t="s">
        <v>1237</v>
      </c>
      <c r="D284" s="121" t="s">
        <v>177</v>
      </c>
      <c r="F284" s="107" t="s">
        <v>231</v>
      </c>
      <c r="H284" s="122" t="s">
        <v>1328</v>
      </c>
      <c r="I284" s="123" t="s">
        <v>972</v>
      </c>
      <c r="J284" s="124"/>
      <c r="K284" s="124" t="s">
        <v>1230</v>
      </c>
      <c r="L284" s="124" t="s">
        <v>666</v>
      </c>
      <c r="M284" s="125" t="s">
        <v>183</v>
      </c>
      <c r="N284" s="156">
        <f t="shared" si="33"/>
        <v>25200</v>
      </c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>
        <v>3600</v>
      </c>
      <c r="BG284" s="127">
        <v>3600</v>
      </c>
      <c r="BH284" s="127">
        <v>3600</v>
      </c>
      <c r="BI284" s="127">
        <v>3600</v>
      </c>
      <c r="BJ284" s="127">
        <v>3600</v>
      </c>
      <c r="BK284" s="127">
        <v>3600</v>
      </c>
      <c r="BL284" s="127">
        <v>3600</v>
      </c>
      <c r="BM284" s="127"/>
      <c r="BN284" s="127"/>
      <c r="BO284" s="127"/>
      <c r="BP284" s="127" t="s">
        <v>1329</v>
      </c>
      <c r="BQ284" s="127" t="s">
        <v>1225</v>
      </c>
      <c r="BR284" s="127" t="s">
        <v>1330</v>
      </c>
      <c r="BS284" s="127" t="s">
        <v>1331</v>
      </c>
      <c r="BT284" s="127" t="s">
        <v>239</v>
      </c>
      <c r="BU284" s="127" t="s">
        <v>521</v>
      </c>
      <c r="BV284" s="127" t="s">
        <v>190</v>
      </c>
      <c r="BW284" s="127" t="s">
        <v>191</v>
      </c>
      <c r="BX284" s="127" t="s">
        <v>189</v>
      </c>
      <c r="BY284" s="127" t="s">
        <v>189</v>
      </c>
      <c r="BZ284" s="127" t="s">
        <v>1279</v>
      </c>
    </row>
    <row r="285" spans="2:78" s="121" customFormat="1" outlineLevel="2">
      <c r="B285" s="107" t="s">
        <v>849</v>
      </c>
      <c r="C285" s="121" t="s">
        <v>1237</v>
      </c>
      <c r="D285" s="107" t="s">
        <v>177</v>
      </c>
      <c r="E285" s="107"/>
      <c r="F285" s="107" t="s">
        <v>1332</v>
      </c>
      <c r="H285" s="122" t="s">
        <v>1333</v>
      </c>
      <c r="I285" s="124" t="s">
        <v>290</v>
      </c>
      <c r="J285" s="124"/>
      <c r="K285" s="124" t="s">
        <v>1334</v>
      </c>
      <c r="L285" s="124" t="s">
        <v>1335</v>
      </c>
      <c r="M285" s="125" t="s">
        <v>183</v>
      </c>
      <c r="N285" s="126">
        <f t="shared" si="33"/>
        <v>42000</v>
      </c>
      <c r="O285" s="127">
        <v>0</v>
      </c>
      <c r="P285" s="127"/>
      <c r="Q285" s="127"/>
      <c r="R285" s="127"/>
      <c r="S285" s="127"/>
      <c r="T285" s="127">
        <v>0</v>
      </c>
      <c r="U285" s="127"/>
      <c r="V285" s="127"/>
      <c r="W285" s="127"/>
      <c r="X285" s="127"/>
      <c r="Y285" s="127"/>
      <c r="Z285" s="127"/>
      <c r="AA285" s="127"/>
      <c r="AB285" s="127">
        <v>0</v>
      </c>
      <c r="AC285" s="127"/>
      <c r="AD285" s="127"/>
      <c r="AE285" s="127"/>
      <c r="AF285" s="127"/>
      <c r="AG285" s="127">
        <v>0</v>
      </c>
      <c r="AH285" s="127"/>
      <c r="AI285" s="127"/>
      <c r="AJ285" s="127"/>
      <c r="AK285" s="127">
        <v>0</v>
      </c>
      <c r="AL285" s="127"/>
      <c r="AM285" s="127"/>
      <c r="AN285" s="127"/>
      <c r="AO285" s="127">
        <v>0</v>
      </c>
      <c r="AP285" s="127"/>
      <c r="AQ285" s="127"/>
      <c r="AR285" s="127"/>
      <c r="AS285" s="127"/>
      <c r="AT285" s="127">
        <v>0</v>
      </c>
      <c r="AU285" s="127"/>
      <c r="AV285" s="127">
        <v>3000</v>
      </c>
      <c r="AW285" s="127">
        <v>3000</v>
      </c>
      <c r="AX285" s="127">
        <v>3000</v>
      </c>
      <c r="AY285" s="127">
        <v>3000</v>
      </c>
      <c r="AZ285" s="127">
        <v>3000</v>
      </c>
      <c r="BA285" s="127">
        <v>3000</v>
      </c>
      <c r="BB285" s="127">
        <v>3000</v>
      </c>
      <c r="BC285" s="127">
        <v>3000</v>
      </c>
      <c r="BD285" s="127">
        <v>3000</v>
      </c>
      <c r="BE285" s="127">
        <v>3000</v>
      </c>
      <c r="BF285" s="127">
        <v>3000</v>
      </c>
      <c r="BG285" s="127">
        <v>3000</v>
      </c>
      <c r="BH285" s="127">
        <v>3000</v>
      </c>
      <c r="BI285" s="127">
        <v>3000</v>
      </c>
      <c r="BJ285" s="127"/>
      <c r="BK285" s="127">
        <v>0</v>
      </c>
      <c r="BL285" s="127"/>
      <c r="BM285" s="127"/>
      <c r="BN285" s="127"/>
      <c r="BO285" s="127"/>
      <c r="BP285" s="127" t="s">
        <v>1336</v>
      </c>
      <c r="BQ285" s="127" t="s">
        <v>1337</v>
      </c>
      <c r="BR285" s="127" t="s">
        <v>1338</v>
      </c>
      <c r="BS285" s="127" t="s">
        <v>1339</v>
      </c>
      <c r="BT285" s="127" t="s">
        <v>239</v>
      </c>
      <c r="BU285" s="127" t="s">
        <v>189</v>
      </c>
      <c r="BV285" s="127" t="s">
        <v>304</v>
      </c>
      <c r="BW285" s="127" t="s">
        <v>191</v>
      </c>
      <c r="BX285" s="127" t="s">
        <v>189</v>
      </c>
      <c r="BY285" s="127" t="s">
        <v>189</v>
      </c>
      <c r="BZ285" s="127" t="s">
        <v>1340</v>
      </c>
    </row>
    <row r="286" spans="2:78" s="121" customFormat="1" outlineLevel="2">
      <c r="B286" s="121" t="s">
        <v>849</v>
      </c>
      <c r="C286" s="129" t="s">
        <v>1237</v>
      </c>
      <c r="D286" s="121" t="s">
        <v>195</v>
      </c>
      <c r="F286" s="107" t="s">
        <v>88</v>
      </c>
      <c r="G286" s="107" t="s">
        <v>199</v>
      </c>
      <c r="H286" s="122" t="s">
        <v>1341</v>
      </c>
      <c r="I286" s="124"/>
      <c r="J286" s="124"/>
      <c r="K286" s="124" t="s">
        <v>1342</v>
      </c>
      <c r="L286" s="124" t="s">
        <v>1244</v>
      </c>
      <c r="M286" s="125" t="s">
        <v>183</v>
      </c>
      <c r="N286" s="126">
        <f t="shared" si="33"/>
        <v>6000</v>
      </c>
      <c r="O286" s="127"/>
      <c r="P286" s="130">
        <v>2400</v>
      </c>
      <c r="Q286" s="130">
        <v>2400</v>
      </c>
      <c r="R286" s="127"/>
      <c r="S286" s="130">
        <v>1200</v>
      </c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  <c r="AV286" s="127"/>
      <c r="AW286" s="127"/>
      <c r="AX286" s="127"/>
      <c r="AY286" s="127"/>
      <c r="AZ286" s="127"/>
      <c r="BA286" s="127"/>
      <c r="BB286" s="127"/>
      <c r="BC286" s="127"/>
      <c r="BD286" s="127"/>
      <c r="BE286" s="127"/>
      <c r="BF286" s="127"/>
      <c r="BG286" s="127"/>
      <c r="BH286" s="127"/>
      <c r="BI286" s="127"/>
      <c r="BJ286" s="127"/>
      <c r="BK286" s="127"/>
      <c r="BL286" s="127"/>
      <c r="BM286" s="127"/>
      <c r="BN286" s="127"/>
      <c r="BO286" s="127"/>
      <c r="BP286" s="127"/>
      <c r="BQ286" s="127"/>
      <c r="BR286" s="127"/>
      <c r="BS286" s="127"/>
      <c r="BT286" s="127"/>
      <c r="BU286" s="127"/>
      <c r="BV286" s="127"/>
      <c r="BW286" s="127"/>
      <c r="BX286" s="127"/>
      <c r="BY286" s="127"/>
      <c r="BZ286" s="127"/>
    </row>
    <row r="287" spans="2:78" s="121" customFormat="1" outlineLevel="2">
      <c r="B287" s="121" t="s">
        <v>849</v>
      </c>
      <c r="C287" s="129" t="s">
        <v>1237</v>
      </c>
      <c r="D287" s="121" t="s">
        <v>195</v>
      </c>
      <c r="F287" s="107" t="s">
        <v>88</v>
      </c>
      <c r="G287" s="107" t="s">
        <v>199</v>
      </c>
      <c r="H287" s="122" t="s">
        <v>1343</v>
      </c>
      <c r="I287" s="124"/>
      <c r="J287" s="124"/>
      <c r="K287" s="124" t="s">
        <v>1344</v>
      </c>
      <c r="L287" s="124" t="s">
        <v>1175</v>
      </c>
      <c r="M287" s="125" t="s">
        <v>249</v>
      </c>
      <c r="N287" s="156">
        <f t="shared" si="33"/>
        <v>1200</v>
      </c>
      <c r="O287" s="127"/>
      <c r="P287" s="130">
        <v>1200</v>
      </c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  <c r="BG287" s="127"/>
      <c r="BH287" s="127"/>
      <c r="BI287" s="127"/>
      <c r="BJ287" s="127"/>
      <c r="BK287" s="127"/>
      <c r="BL287" s="127"/>
      <c r="BM287" s="127"/>
      <c r="BN287" s="127"/>
      <c r="BO287" s="127"/>
      <c r="BP287" s="127"/>
      <c r="BQ287" s="127"/>
      <c r="BR287" s="127"/>
      <c r="BS287" s="127"/>
      <c r="BT287" s="127"/>
      <c r="BU287" s="127"/>
      <c r="BV287" s="127"/>
      <c r="BW287" s="127"/>
      <c r="BX287" s="127"/>
      <c r="BY287" s="127"/>
      <c r="BZ287" s="127"/>
    </row>
    <row r="288" spans="2:78" s="121" customFormat="1" outlineLevel="2">
      <c r="B288" s="121" t="s">
        <v>849</v>
      </c>
      <c r="C288" s="129" t="s">
        <v>1237</v>
      </c>
      <c r="D288" s="121" t="s">
        <v>177</v>
      </c>
      <c r="F288" s="107" t="s">
        <v>88</v>
      </c>
      <c r="G288" s="107" t="s">
        <v>199</v>
      </c>
      <c r="H288" s="122" t="s">
        <v>1343</v>
      </c>
      <c r="I288" s="124"/>
      <c r="J288" s="124"/>
      <c r="K288" s="124" t="s">
        <v>1344</v>
      </c>
      <c r="L288" s="124" t="s">
        <v>1175</v>
      </c>
      <c r="M288" s="125" t="s">
        <v>249</v>
      </c>
      <c r="N288" s="156">
        <f>SUM(O288:BO288)</f>
        <v>4800</v>
      </c>
      <c r="O288" s="127"/>
      <c r="P288" s="127"/>
      <c r="Q288" s="130">
        <v>1200</v>
      </c>
      <c r="R288" s="130">
        <v>1200</v>
      </c>
      <c r="S288" s="130">
        <v>1200</v>
      </c>
      <c r="T288" s="130">
        <v>1200</v>
      </c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  <c r="AV288" s="127"/>
      <c r="AW288" s="127"/>
      <c r="AX288" s="127"/>
      <c r="AY288" s="127"/>
      <c r="AZ288" s="127"/>
      <c r="BA288" s="127"/>
      <c r="BB288" s="127"/>
      <c r="BC288" s="127"/>
      <c r="BD288" s="127"/>
      <c r="BE288" s="127"/>
      <c r="BF288" s="127"/>
      <c r="BG288" s="127"/>
      <c r="BH288" s="127"/>
      <c r="BI288" s="127"/>
      <c r="BJ288" s="127"/>
      <c r="BK288" s="127"/>
      <c r="BL288" s="127"/>
      <c r="BM288" s="127"/>
      <c r="BN288" s="127"/>
      <c r="BO288" s="127"/>
      <c r="BP288" s="127"/>
      <c r="BQ288" s="127"/>
      <c r="BR288" s="127"/>
      <c r="BS288" s="127"/>
      <c r="BT288" s="127"/>
      <c r="BU288" s="127"/>
      <c r="BV288" s="127"/>
      <c r="BW288" s="127"/>
      <c r="BX288" s="127"/>
      <c r="BY288" s="127"/>
      <c r="BZ288" s="127"/>
    </row>
    <row r="289" spans="2:78" s="121" customFormat="1" outlineLevel="2">
      <c r="B289" s="121" t="s">
        <v>849</v>
      </c>
      <c r="C289" s="129" t="s">
        <v>1237</v>
      </c>
      <c r="D289" s="121" t="s">
        <v>195</v>
      </c>
      <c r="F289" s="107" t="s">
        <v>88</v>
      </c>
      <c r="G289" s="107"/>
      <c r="H289" s="122" t="s">
        <v>1190</v>
      </c>
      <c r="I289" s="124"/>
      <c r="J289" s="124"/>
      <c r="K289" s="124" t="s">
        <v>1191</v>
      </c>
      <c r="L289" s="124" t="s">
        <v>1175</v>
      </c>
      <c r="M289" s="125" t="s">
        <v>183</v>
      </c>
      <c r="N289" s="156">
        <f>SUM(O289:BO289)</f>
        <v>4200</v>
      </c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30">
        <v>1200</v>
      </c>
      <c r="AK289" s="127">
        <v>1000</v>
      </c>
      <c r="AL289" s="127">
        <v>1000</v>
      </c>
      <c r="AM289" s="127">
        <v>1000</v>
      </c>
      <c r="AN289" s="127"/>
      <c r="AO289" s="127"/>
      <c r="AP289" s="127"/>
      <c r="AQ289" s="127"/>
      <c r="AR289" s="127"/>
      <c r="AS289" s="127"/>
      <c r="AT289" s="127"/>
      <c r="AU289" s="127"/>
      <c r="AV289" s="127"/>
      <c r="AW289" s="127"/>
      <c r="AX289" s="127"/>
      <c r="AY289" s="127"/>
      <c r="AZ289" s="127"/>
      <c r="BA289" s="127"/>
      <c r="BB289" s="127"/>
      <c r="BC289" s="127"/>
      <c r="BD289" s="127"/>
      <c r="BE289" s="127"/>
      <c r="BF289" s="127"/>
      <c r="BG289" s="127"/>
      <c r="BH289" s="127"/>
      <c r="BI289" s="127"/>
      <c r="BJ289" s="127"/>
      <c r="BK289" s="127"/>
      <c r="BL289" s="127"/>
      <c r="BM289" s="127"/>
      <c r="BN289" s="127"/>
      <c r="BO289" s="127"/>
      <c r="BP289" s="146" t="s">
        <v>1192</v>
      </c>
      <c r="BQ289" s="146" t="s">
        <v>1193</v>
      </c>
      <c r="BR289" s="127"/>
      <c r="BS289" s="127"/>
      <c r="BT289" s="146" t="s">
        <v>188</v>
      </c>
      <c r="BU289" s="146" t="s">
        <v>1194</v>
      </c>
      <c r="BV289" s="146" t="s">
        <v>188</v>
      </c>
      <c r="BW289" s="146" t="s">
        <v>733</v>
      </c>
      <c r="BX289" s="146" t="s">
        <v>1195</v>
      </c>
      <c r="BY289" s="146" t="s">
        <v>1196</v>
      </c>
      <c r="BZ289" s="146" t="s">
        <v>1179</v>
      </c>
    </row>
    <row r="290" spans="2:78" s="121" customFormat="1" outlineLevel="2">
      <c r="B290" s="121" t="s">
        <v>849</v>
      </c>
      <c r="C290" s="129" t="s">
        <v>1237</v>
      </c>
      <c r="D290" s="121" t="s">
        <v>195</v>
      </c>
      <c r="F290" s="149" t="s">
        <v>88</v>
      </c>
      <c r="G290" s="107" t="s">
        <v>199</v>
      </c>
      <c r="H290" s="122" t="s">
        <v>1197</v>
      </c>
      <c r="I290" s="124"/>
      <c r="J290" s="124"/>
      <c r="K290" s="124" t="s">
        <v>1191</v>
      </c>
      <c r="L290" s="124" t="s">
        <v>1175</v>
      </c>
      <c r="M290" s="125" t="s">
        <v>183</v>
      </c>
      <c r="N290" s="126">
        <f>SUM(O290:BO290)</f>
        <v>4800</v>
      </c>
      <c r="O290" s="127"/>
      <c r="P290" s="127"/>
      <c r="Q290" s="127"/>
      <c r="R290" s="130">
        <v>1200</v>
      </c>
      <c r="S290" s="127"/>
      <c r="T290" s="130">
        <v>1200</v>
      </c>
      <c r="U290" s="127"/>
      <c r="V290" s="130">
        <v>1200</v>
      </c>
      <c r="W290" s="127"/>
      <c r="X290" s="130">
        <v>1200</v>
      </c>
      <c r="Y290" s="127"/>
      <c r="Z290" s="127"/>
      <c r="AA290" s="127"/>
      <c r="AB290" s="127">
        <v>0</v>
      </c>
      <c r="AC290" s="127"/>
      <c r="AD290" s="127"/>
      <c r="AE290" s="127"/>
      <c r="AF290" s="127"/>
      <c r="AG290" s="127">
        <v>0</v>
      </c>
      <c r="AH290" s="127"/>
      <c r="AI290" s="127"/>
      <c r="AJ290" s="127"/>
      <c r="AK290" s="127">
        <v>0</v>
      </c>
      <c r="AL290" s="127"/>
      <c r="AM290" s="127"/>
      <c r="AN290" s="127"/>
      <c r="AO290" s="127">
        <v>0</v>
      </c>
      <c r="AP290" s="127"/>
      <c r="AQ290" s="127"/>
      <c r="AR290" s="127"/>
      <c r="AS290" s="127"/>
      <c r="AT290" s="127">
        <v>0</v>
      </c>
      <c r="AU290" s="127"/>
      <c r="AV290" s="127"/>
      <c r="AW290" s="127"/>
      <c r="AX290" s="127">
        <v>0</v>
      </c>
      <c r="AY290" s="127"/>
      <c r="AZ290" s="127"/>
      <c r="BA290" s="127"/>
      <c r="BB290" s="127">
        <v>0</v>
      </c>
      <c r="BC290" s="127"/>
      <c r="BD290" s="127"/>
      <c r="BE290" s="127"/>
      <c r="BF290" s="127"/>
      <c r="BG290" s="127">
        <v>0</v>
      </c>
      <c r="BH290" s="127"/>
      <c r="BI290" s="127"/>
      <c r="BJ290" s="127"/>
      <c r="BK290" s="127">
        <v>0</v>
      </c>
      <c r="BL290" s="127"/>
      <c r="BM290" s="127"/>
      <c r="BN290" s="127"/>
      <c r="BO290" s="127"/>
      <c r="BP290" s="127" t="s">
        <v>1198</v>
      </c>
      <c r="BQ290" s="127" t="s">
        <v>786</v>
      </c>
      <c r="BR290" s="127" t="s">
        <v>1199</v>
      </c>
      <c r="BS290" s="127" t="s">
        <v>1200</v>
      </c>
      <c r="BT290" s="127" t="s">
        <v>188</v>
      </c>
      <c r="BU290" s="127" t="s">
        <v>189</v>
      </c>
      <c r="BV290" s="127" t="s">
        <v>395</v>
      </c>
      <c r="BW290" s="127" t="s">
        <v>343</v>
      </c>
      <c r="BX290" s="127" t="s">
        <v>1201</v>
      </c>
      <c r="BY290" s="127" t="s">
        <v>189</v>
      </c>
      <c r="BZ290" s="127" t="s">
        <v>1202</v>
      </c>
    </row>
    <row r="291" spans="2:78" s="121" customFormat="1" outlineLevel="2">
      <c r="B291" s="121" t="s">
        <v>849</v>
      </c>
      <c r="C291" s="129" t="s">
        <v>1237</v>
      </c>
      <c r="D291" s="121" t="s">
        <v>195</v>
      </c>
      <c r="F291" s="149" t="s">
        <v>88</v>
      </c>
      <c r="G291" s="107"/>
      <c r="H291" s="122" t="s">
        <v>1345</v>
      </c>
      <c r="I291" s="124"/>
      <c r="J291" s="124"/>
      <c r="K291" s="124" t="s">
        <v>1346</v>
      </c>
      <c r="L291" s="124" t="s">
        <v>1175</v>
      </c>
      <c r="M291" s="125" t="s">
        <v>183</v>
      </c>
      <c r="N291" s="156">
        <f>SUBTOTAL(9,O291:BO291)</f>
        <v>2000</v>
      </c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>
        <v>1000</v>
      </c>
      <c r="BH291" s="127">
        <v>1000</v>
      </c>
      <c r="BI291" s="127"/>
      <c r="BJ291" s="127"/>
      <c r="BK291" s="127"/>
      <c r="BL291" s="127"/>
      <c r="BM291" s="127"/>
      <c r="BN291" s="127"/>
      <c r="BO291" s="127"/>
      <c r="BP291" s="146" t="s">
        <v>1347</v>
      </c>
      <c r="BQ291" s="146" t="s">
        <v>1184</v>
      </c>
      <c r="BR291" s="146" t="s">
        <v>1348</v>
      </c>
      <c r="BS291" s="146" t="s">
        <v>1349</v>
      </c>
      <c r="BT291" s="146" t="s">
        <v>188</v>
      </c>
      <c r="BU291" s="146" t="s">
        <v>189</v>
      </c>
      <c r="BV291" s="146" t="s">
        <v>188</v>
      </c>
      <c r="BW291" s="146" t="s">
        <v>191</v>
      </c>
      <c r="BX291" s="146" t="s">
        <v>639</v>
      </c>
      <c r="BY291" s="127"/>
      <c r="BZ291" s="127"/>
    </row>
    <row r="292" spans="2:78" s="121" customFormat="1" outlineLevel="2">
      <c r="B292" s="121" t="s">
        <v>849</v>
      </c>
      <c r="C292" s="129" t="s">
        <v>1237</v>
      </c>
      <c r="D292" s="121" t="s">
        <v>195</v>
      </c>
      <c r="F292" s="107" t="s">
        <v>88</v>
      </c>
      <c r="G292" s="107" t="s">
        <v>199</v>
      </c>
      <c r="H292" s="122" t="s">
        <v>856</v>
      </c>
      <c r="K292" s="124" t="s">
        <v>793</v>
      </c>
      <c r="L292" s="124"/>
      <c r="M292" s="125" t="s">
        <v>249</v>
      </c>
      <c r="N292" s="156">
        <f t="shared" si="33"/>
        <v>2400</v>
      </c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>
        <v>0</v>
      </c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  <c r="AS292" s="157"/>
      <c r="AT292" s="157"/>
      <c r="AU292" s="157"/>
      <c r="AV292" s="157"/>
      <c r="AW292" s="157"/>
      <c r="AX292" s="157">
        <v>1200</v>
      </c>
      <c r="AY292" s="157">
        <v>1200</v>
      </c>
      <c r="AZ292" s="157"/>
      <c r="BA292" s="157"/>
      <c r="BB292" s="157"/>
      <c r="BC292" s="157"/>
      <c r="BD292" s="157"/>
      <c r="BE292" s="157"/>
      <c r="BF292" s="157"/>
      <c r="BG292" s="157"/>
      <c r="BH292" s="157"/>
      <c r="BI292" s="157"/>
      <c r="BJ292" s="157"/>
      <c r="BK292" s="157"/>
      <c r="BL292" s="157"/>
      <c r="BM292" s="157"/>
      <c r="BN292" s="157"/>
      <c r="BO292" s="157"/>
      <c r="BP292" s="127"/>
      <c r="BQ292" s="127"/>
      <c r="BR292" s="127"/>
      <c r="BS292" s="127"/>
      <c r="BT292" s="127"/>
      <c r="BU292" s="127"/>
      <c r="BV292" s="127"/>
      <c r="BW292" s="127"/>
      <c r="BX292" s="127"/>
      <c r="BY292" s="127"/>
      <c r="BZ292" s="127"/>
    </row>
    <row r="293" spans="2:78" s="121" customFormat="1" outlineLevel="2">
      <c r="B293" s="121" t="s">
        <v>849</v>
      </c>
      <c r="C293" s="129" t="s">
        <v>1237</v>
      </c>
      <c r="D293" s="121" t="s">
        <v>195</v>
      </c>
      <c r="F293" s="107" t="s">
        <v>88</v>
      </c>
      <c r="G293" s="107" t="s">
        <v>199</v>
      </c>
      <c r="H293" s="122" t="s">
        <v>856</v>
      </c>
      <c r="K293" s="124" t="s">
        <v>823</v>
      </c>
      <c r="L293" s="124"/>
      <c r="M293" s="125" t="s">
        <v>249</v>
      </c>
      <c r="N293" s="156">
        <f t="shared" si="33"/>
        <v>2400</v>
      </c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57">
        <v>1200</v>
      </c>
      <c r="BA293" s="157">
        <v>1200</v>
      </c>
      <c r="BB293" s="157"/>
      <c r="BC293" s="157"/>
      <c r="BD293" s="157"/>
      <c r="BE293" s="157"/>
      <c r="BF293" s="157"/>
      <c r="BG293" s="157"/>
      <c r="BH293" s="157"/>
      <c r="BI293" s="157"/>
      <c r="BJ293" s="157"/>
      <c r="BK293" s="157"/>
      <c r="BL293" s="157"/>
      <c r="BM293" s="157"/>
      <c r="BN293" s="157"/>
      <c r="BO293" s="157"/>
      <c r="BP293" s="127"/>
      <c r="BQ293" s="127"/>
      <c r="BR293" s="127"/>
      <c r="BS293" s="127"/>
      <c r="BT293" s="127"/>
      <c r="BU293" s="127"/>
      <c r="BV293" s="127"/>
      <c r="BW293" s="127"/>
      <c r="BX293" s="127"/>
      <c r="BY293" s="127"/>
      <c r="BZ293" s="127"/>
    </row>
    <row r="294" spans="2:78" s="121" customFormat="1" outlineLevel="2">
      <c r="B294" s="121" t="s">
        <v>849</v>
      </c>
      <c r="C294" s="129" t="s">
        <v>1237</v>
      </c>
      <c r="D294" s="121" t="s">
        <v>195</v>
      </c>
      <c r="F294" s="107" t="s">
        <v>88</v>
      </c>
      <c r="G294" s="145" t="s">
        <v>199</v>
      </c>
      <c r="H294" s="122" t="s">
        <v>856</v>
      </c>
      <c r="K294" s="124" t="s">
        <v>1342</v>
      </c>
      <c r="L294" s="124"/>
      <c r="M294" s="125" t="s">
        <v>249</v>
      </c>
      <c r="N294" s="156">
        <f t="shared" si="33"/>
        <v>2400</v>
      </c>
      <c r="O294" s="157"/>
      <c r="P294" s="157"/>
      <c r="Q294" s="157"/>
      <c r="R294" s="157"/>
      <c r="S294" s="157"/>
      <c r="T294" s="157"/>
      <c r="U294" s="158">
        <v>1200</v>
      </c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57"/>
      <c r="BA294" s="157"/>
      <c r="BB294" s="157">
        <v>1200</v>
      </c>
      <c r="BC294" s="157"/>
      <c r="BD294" s="157"/>
      <c r="BE294" s="157"/>
      <c r="BF294" s="157"/>
      <c r="BG294" s="157"/>
      <c r="BH294" s="157"/>
      <c r="BI294" s="157"/>
      <c r="BJ294" s="157"/>
      <c r="BK294" s="157"/>
      <c r="BL294" s="157"/>
      <c r="BM294" s="157"/>
      <c r="BN294" s="157"/>
      <c r="BO294" s="157"/>
      <c r="BP294" s="127"/>
      <c r="BQ294" s="127"/>
      <c r="BR294" s="127"/>
      <c r="BS294" s="127"/>
      <c r="BT294" s="127"/>
      <c r="BU294" s="127"/>
      <c r="BV294" s="127"/>
      <c r="BW294" s="127"/>
      <c r="BX294" s="127"/>
      <c r="BY294" s="127"/>
      <c r="BZ294" s="127"/>
    </row>
    <row r="295" spans="2:78" s="121" customFormat="1" outlineLevel="2">
      <c r="B295" s="121" t="s">
        <v>849</v>
      </c>
      <c r="C295" s="129" t="s">
        <v>1237</v>
      </c>
      <c r="D295" s="107" t="s">
        <v>468</v>
      </c>
      <c r="F295" s="107" t="s">
        <v>178</v>
      </c>
      <c r="H295" s="147" t="s">
        <v>1350</v>
      </c>
      <c r="K295" s="124"/>
      <c r="L295" s="124"/>
      <c r="M295" s="125" t="s">
        <v>183</v>
      </c>
      <c r="N295" s="124">
        <v>17000</v>
      </c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57"/>
      <c r="BA295" s="157"/>
      <c r="BB295" s="157"/>
      <c r="BC295" s="157"/>
      <c r="BD295" s="157"/>
      <c r="BE295" s="157"/>
      <c r="BF295" s="157"/>
      <c r="BG295" s="157"/>
      <c r="BH295" s="157"/>
      <c r="BI295" s="157"/>
      <c r="BJ295" s="157"/>
      <c r="BK295" s="157"/>
      <c r="BL295" s="157"/>
      <c r="BM295" s="157"/>
      <c r="BN295" s="157"/>
      <c r="BO295" s="157"/>
      <c r="BP295" s="127"/>
      <c r="BQ295" s="127"/>
      <c r="BR295" s="127"/>
      <c r="BS295" s="127"/>
      <c r="BT295" s="127"/>
      <c r="BU295" s="127"/>
      <c r="BV295" s="127"/>
      <c r="BW295" s="127"/>
      <c r="BX295" s="127"/>
      <c r="BY295" s="127"/>
      <c r="BZ295" s="127"/>
    </row>
    <row r="296" spans="2:78" s="121" customFormat="1" outlineLevel="2">
      <c r="B296" s="121" t="s">
        <v>849</v>
      </c>
      <c r="C296" s="129" t="s">
        <v>1237</v>
      </c>
      <c r="D296" s="107" t="s">
        <v>468</v>
      </c>
      <c r="F296" s="107" t="s">
        <v>178</v>
      </c>
      <c r="H296" s="147" t="s">
        <v>1351</v>
      </c>
      <c r="K296" s="124"/>
      <c r="L296" s="124"/>
      <c r="M296" s="125" t="s">
        <v>183</v>
      </c>
      <c r="N296" s="124">
        <v>45000</v>
      </c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57"/>
      <c r="BA296" s="157"/>
      <c r="BB296" s="157"/>
      <c r="BC296" s="157"/>
      <c r="BD296" s="157"/>
      <c r="BE296" s="157"/>
      <c r="BF296" s="157"/>
      <c r="BG296" s="157"/>
      <c r="BH296" s="157"/>
      <c r="BI296" s="157"/>
      <c r="BJ296" s="157"/>
      <c r="BK296" s="157"/>
      <c r="BL296" s="157"/>
      <c r="BM296" s="157"/>
      <c r="BN296" s="157"/>
      <c r="BO296" s="157"/>
      <c r="BP296" s="127"/>
      <c r="BQ296" s="127"/>
      <c r="BR296" s="127"/>
      <c r="BS296" s="127"/>
      <c r="BT296" s="127"/>
      <c r="BU296" s="127"/>
      <c r="BV296" s="127"/>
      <c r="BW296" s="127"/>
      <c r="BX296" s="127"/>
      <c r="BY296" s="127"/>
      <c r="BZ296" s="127"/>
    </row>
    <row r="297" spans="2:78" s="121" customFormat="1" outlineLevel="2">
      <c r="B297" s="121" t="s">
        <v>849</v>
      </c>
      <c r="C297" s="129" t="s">
        <v>1237</v>
      </c>
      <c r="D297" s="107" t="s">
        <v>198</v>
      </c>
      <c r="F297" s="107" t="s">
        <v>178</v>
      </c>
      <c r="H297" s="147" t="s">
        <v>1352</v>
      </c>
      <c r="K297" s="124"/>
      <c r="L297" s="124"/>
      <c r="M297" s="125" t="s">
        <v>183</v>
      </c>
      <c r="N297" s="124">
        <v>15000</v>
      </c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57"/>
      <c r="BA297" s="157"/>
      <c r="BB297" s="157"/>
      <c r="BC297" s="157"/>
      <c r="BD297" s="157"/>
      <c r="BE297" s="157"/>
      <c r="BF297" s="157"/>
      <c r="BG297" s="157"/>
      <c r="BH297" s="157"/>
      <c r="BI297" s="157"/>
      <c r="BJ297" s="157"/>
      <c r="BK297" s="157"/>
      <c r="BL297" s="157"/>
      <c r="BM297" s="157"/>
      <c r="BN297" s="157"/>
      <c r="BO297" s="157"/>
      <c r="BP297" s="127"/>
      <c r="BQ297" s="127"/>
      <c r="BR297" s="127"/>
      <c r="BS297" s="127"/>
      <c r="BT297" s="127"/>
      <c r="BU297" s="127"/>
      <c r="BV297" s="127"/>
      <c r="BW297" s="127"/>
      <c r="BX297" s="127"/>
      <c r="BY297" s="127"/>
      <c r="BZ297" s="127"/>
    </row>
    <row r="298" spans="2:78" s="139" customFormat="1" outlineLevel="1">
      <c r="C298" s="140" t="s">
        <v>1353</v>
      </c>
      <c r="H298" s="141"/>
      <c r="I298" s="141"/>
      <c r="J298" s="141"/>
      <c r="K298" s="141"/>
      <c r="L298" s="141"/>
      <c r="M298" s="142"/>
      <c r="N298" s="143">
        <f t="shared" ref="N298:BO298" si="34">SUBTOTAL(9,N262:N297)</f>
        <v>415306</v>
      </c>
      <c r="O298" s="144">
        <f t="shared" si="34"/>
        <v>3900</v>
      </c>
      <c r="P298" s="144">
        <f t="shared" si="34"/>
        <v>9700</v>
      </c>
      <c r="Q298" s="144">
        <f t="shared" si="34"/>
        <v>9700</v>
      </c>
      <c r="R298" s="144">
        <f t="shared" si="34"/>
        <v>8500</v>
      </c>
      <c r="S298" s="144">
        <f t="shared" si="34"/>
        <v>8500</v>
      </c>
      <c r="T298" s="144">
        <f t="shared" si="34"/>
        <v>12806</v>
      </c>
      <c r="U298" s="144">
        <f t="shared" si="34"/>
        <v>8300</v>
      </c>
      <c r="V298" s="144">
        <f t="shared" si="34"/>
        <v>6000</v>
      </c>
      <c r="W298" s="144">
        <f t="shared" si="34"/>
        <v>9300</v>
      </c>
      <c r="X298" s="144">
        <f t="shared" si="34"/>
        <v>9500</v>
      </c>
      <c r="Y298" s="144">
        <f t="shared" si="34"/>
        <v>8800</v>
      </c>
      <c r="Z298" s="144">
        <f t="shared" si="34"/>
        <v>10100</v>
      </c>
      <c r="AA298" s="144">
        <f t="shared" si="34"/>
        <v>7700</v>
      </c>
      <c r="AB298" s="144">
        <f t="shared" si="34"/>
        <v>6600</v>
      </c>
      <c r="AC298" s="144">
        <f t="shared" si="34"/>
        <v>6600</v>
      </c>
      <c r="AD298" s="144">
        <f t="shared" si="34"/>
        <v>3300</v>
      </c>
      <c r="AE298" s="144">
        <f t="shared" si="34"/>
        <v>2200</v>
      </c>
      <c r="AF298" s="144">
        <f t="shared" si="34"/>
        <v>5700</v>
      </c>
      <c r="AG298" s="144">
        <f t="shared" si="34"/>
        <v>6900</v>
      </c>
      <c r="AH298" s="144">
        <f t="shared" si="34"/>
        <v>5900</v>
      </c>
      <c r="AI298" s="144">
        <f t="shared" si="34"/>
        <v>4700</v>
      </c>
      <c r="AJ298" s="144">
        <f t="shared" si="34"/>
        <v>8000</v>
      </c>
      <c r="AK298" s="144">
        <f t="shared" si="34"/>
        <v>9800</v>
      </c>
      <c r="AL298" s="144">
        <f t="shared" si="34"/>
        <v>7800</v>
      </c>
      <c r="AM298" s="144">
        <f t="shared" si="34"/>
        <v>6600</v>
      </c>
      <c r="AN298" s="144">
        <f t="shared" si="34"/>
        <v>8000</v>
      </c>
      <c r="AO298" s="144">
        <f t="shared" si="34"/>
        <v>5600</v>
      </c>
      <c r="AP298" s="144">
        <f t="shared" si="34"/>
        <v>2100</v>
      </c>
      <c r="AQ298" s="144">
        <f t="shared" si="34"/>
        <v>900</v>
      </c>
      <c r="AR298" s="144">
        <f t="shared" si="34"/>
        <v>3900</v>
      </c>
      <c r="AS298" s="144">
        <f t="shared" si="34"/>
        <v>2700</v>
      </c>
      <c r="AT298" s="144">
        <f t="shared" si="34"/>
        <v>3900</v>
      </c>
      <c r="AU298" s="144">
        <f t="shared" si="34"/>
        <v>2700</v>
      </c>
      <c r="AV298" s="144">
        <f t="shared" si="34"/>
        <v>6800</v>
      </c>
      <c r="AW298" s="144">
        <f t="shared" si="34"/>
        <v>6800</v>
      </c>
      <c r="AX298" s="144">
        <f t="shared" si="34"/>
        <v>9000</v>
      </c>
      <c r="AY298" s="144">
        <f t="shared" si="34"/>
        <v>6800</v>
      </c>
      <c r="AZ298" s="144">
        <f t="shared" si="34"/>
        <v>6000</v>
      </c>
      <c r="BA298" s="144">
        <f t="shared" si="34"/>
        <v>6000</v>
      </c>
      <c r="BB298" s="144">
        <f t="shared" si="34"/>
        <v>7000</v>
      </c>
      <c r="BC298" s="144">
        <f t="shared" si="34"/>
        <v>7200</v>
      </c>
      <c r="BD298" s="144">
        <f t="shared" si="34"/>
        <v>6000</v>
      </c>
      <c r="BE298" s="144">
        <f t="shared" si="34"/>
        <v>6000</v>
      </c>
      <c r="BF298" s="144">
        <f t="shared" si="34"/>
        <v>9600</v>
      </c>
      <c r="BG298" s="144">
        <f t="shared" si="34"/>
        <v>10600</v>
      </c>
      <c r="BH298" s="144">
        <f t="shared" si="34"/>
        <v>9400</v>
      </c>
      <c r="BI298" s="144">
        <f t="shared" si="34"/>
        <v>8400</v>
      </c>
      <c r="BJ298" s="144">
        <f t="shared" si="34"/>
        <v>5400</v>
      </c>
      <c r="BK298" s="144">
        <f t="shared" si="34"/>
        <v>5400</v>
      </c>
      <c r="BL298" s="144">
        <f t="shared" si="34"/>
        <v>5400</v>
      </c>
      <c r="BM298" s="144">
        <f t="shared" si="34"/>
        <v>1800</v>
      </c>
      <c r="BN298" s="144">
        <f t="shared" si="34"/>
        <v>0</v>
      </c>
      <c r="BO298" s="144">
        <f t="shared" si="34"/>
        <v>0</v>
      </c>
      <c r="BP298" s="144"/>
      <c r="BQ298" s="144"/>
      <c r="BR298" s="144"/>
      <c r="BS298" s="144"/>
      <c r="BT298" s="144"/>
      <c r="BU298" s="144"/>
      <c r="BV298" s="144"/>
      <c r="BW298" s="144"/>
      <c r="BX298" s="144"/>
      <c r="BY298" s="144"/>
      <c r="BZ298" s="144">
        <f>SUBTOTAL(9,BZ262:BZ278)</f>
        <v>0</v>
      </c>
    </row>
    <row r="299" spans="2:78" s="121" customFormat="1" outlineLevel="2">
      <c r="B299" s="121" t="s">
        <v>849</v>
      </c>
      <c r="C299" s="107" t="s">
        <v>1354</v>
      </c>
      <c r="D299" s="107"/>
      <c r="F299" s="107" t="s">
        <v>89</v>
      </c>
      <c r="H299" s="122" t="s">
        <v>1258</v>
      </c>
      <c r="I299" s="124"/>
      <c r="J299" s="124"/>
      <c r="K299" s="124" t="s">
        <v>1259</v>
      </c>
      <c r="L299" s="124" t="s">
        <v>687</v>
      </c>
      <c r="M299" s="125" t="s">
        <v>183</v>
      </c>
      <c r="N299" s="126">
        <f>SUM(O299:BO299)</f>
        <v>2000</v>
      </c>
      <c r="O299" s="127">
        <v>0</v>
      </c>
      <c r="P299" s="127"/>
      <c r="Q299" s="127"/>
      <c r="R299" s="127"/>
      <c r="S299" s="127"/>
      <c r="T299" s="127">
        <v>0</v>
      </c>
      <c r="U299" s="127"/>
      <c r="V299" s="127"/>
      <c r="W299" s="127"/>
      <c r="X299" s="127">
        <v>0</v>
      </c>
      <c r="Y299" s="127"/>
      <c r="Z299" s="127"/>
      <c r="AA299" s="127"/>
      <c r="AB299" s="127">
        <v>0</v>
      </c>
      <c r="AC299" s="127"/>
      <c r="AD299" s="127"/>
      <c r="AE299" s="127"/>
      <c r="AF299" s="127"/>
      <c r="AG299" s="127">
        <v>0</v>
      </c>
      <c r="AH299" s="127"/>
      <c r="AI299" s="127"/>
      <c r="AJ299" s="127"/>
      <c r="AK299" s="127">
        <v>0</v>
      </c>
      <c r="AL299" s="127"/>
      <c r="AM299" s="127"/>
      <c r="AN299" s="127"/>
      <c r="AO299" s="127">
        <v>0</v>
      </c>
      <c r="AP299" s="127"/>
      <c r="AQ299" s="127"/>
      <c r="AR299" s="127"/>
      <c r="AS299" s="127"/>
      <c r="AT299" s="127">
        <v>0</v>
      </c>
      <c r="AU299" s="127"/>
      <c r="AV299" s="127"/>
      <c r="AW299" s="127"/>
      <c r="AX299" s="127"/>
      <c r="AY299" s="127"/>
      <c r="AZ299" s="127">
        <v>500</v>
      </c>
      <c r="BA299" s="127"/>
      <c r="BB299" s="127"/>
      <c r="BC299" s="127">
        <v>500</v>
      </c>
      <c r="BD299" s="127"/>
      <c r="BE299" s="127"/>
      <c r="BF299" s="127">
        <v>500</v>
      </c>
      <c r="BG299" s="127">
        <v>500</v>
      </c>
      <c r="BH299" s="127"/>
      <c r="BI299" s="127"/>
      <c r="BJ299" s="127"/>
      <c r="BK299" s="127">
        <v>0</v>
      </c>
      <c r="BL299" s="127"/>
      <c r="BM299" s="127"/>
      <c r="BN299" s="127"/>
      <c r="BO299" s="127"/>
      <c r="BP299" s="127" t="s">
        <v>1260</v>
      </c>
      <c r="BQ299" s="127" t="s">
        <v>650</v>
      </c>
      <c r="BR299" s="127" t="s">
        <v>1261</v>
      </c>
      <c r="BS299" s="127" t="s">
        <v>1262</v>
      </c>
      <c r="BT299" s="127" t="s">
        <v>188</v>
      </c>
      <c r="BU299" s="127" t="s">
        <v>189</v>
      </c>
      <c r="BV299" s="127" t="s">
        <v>205</v>
      </c>
      <c r="BW299" s="127" t="s">
        <v>191</v>
      </c>
      <c r="BX299" s="127" t="s">
        <v>1263</v>
      </c>
      <c r="BY299" s="127" t="s">
        <v>189</v>
      </c>
      <c r="BZ299" s="131" t="s">
        <v>693</v>
      </c>
    </row>
    <row r="300" spans="2:78" s="121" customFormat="1" outlineLevel="2">
      <c r="B300" s="121" t="s">
        <v>849</v>
      </c>
      <c r="C300" s="107" t="s">
        <v>1354</v>
      </c>
      <c r="D300" s="107"/>
      <c r="F300" s="107" t="s">
        <v>89</v>
      </c>
      <c r="G300" s="107" t="s">
        <v>1355</v>
      </c>
      <c r="H300" s="122" t="s">
        <v>1356</v>
      </c>
      <c r="I300" s="124"/>
      <c r="J300" s="124"/>
      <c r="K300" s="124" t="s">
        <v>1259</v>
      </c>
      <c r="L300" s="124" t="s">
        <v>687</v>
      </c>
      <c r="M300" s="125" t="s">
        <v>183</v>
      </c>
      <c r="N300" s="126">
        <f>SUM(O300:BO300)</f>
        <v>500</v>
      </c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30">
        <v>500</v>
      </c>
      <c r="Z300" s="127"/>
      <c r="AA300" s="127"/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27"/>
      <c r="AO300" s="127"/>
      <c r="AP300" s="127"/>
      <c r="AQ300" s="127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7"/>
      <c r="BD300" s="127"/>
      <c r="BE300" s="127"/>
      <c r="BF300" s="127"/>
      <c r="BG300" s="127"/>
      <c r="BH300" s="127"/>
      <c r="BI300" s="127"/>
      <c r="BJ300" s="127"/>
      <c r="BK300" s="127"/>
      <c r="BL300" s="127"/>
      <c r="BM300" s="127"/>
      <c r="BN300" s="127"/>
      <c r="BO300" s="127"/>
      <c r="BP300" s="127"/>
      <c r="BQ300" s="127"/>
      <c r="BR300" s="127"/>
      <c r="BS300" s="127"/>
      <c r="BT300" s="127"/>
      <c r="BU300" s="127"/>
      <c r="BV300" s="127"/>
      <c r="BW300" s="127"/>
      <c r="BX300" s="127"/>
      <c r="BY300" s="127"/>
      <c r="BZ300" s="131"/>
    </row>
    <row r="301" spans="2:78" s="121" customFormat="1" outlineLevel="2">
      <c r="B301" s="121" t="s">
        <v>849</v>
      </c>
      <c r="C301" s="107" t="s">
        <v>1354</v>
      </c>
      <c r="F301" s="107" t="s">
        <v>89</v>
      </c>
      <c r="H301" s="147" t="s">
        <v>1357</v>
      </c>
      <c r="I301" s="124"/>
      <c r="J301" s="124"/>
      <c r="K301" s="124"/>
      <c r="L301" s="124"/>
      <c r="M301" s="125" t="s">
        <v>183</v>
      </c>
      <c r="N301" s="126">
        <v>5000</v>
      </c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27"/>
      <c r="AO301" s="127"/>
      <c r="AP301" s="127"/>
      <c r="AQ301" s="127"/>
      <c r="AR301" s="127"/>
      <c r="AS301" s="127"/>
      <c r="AT301" s="127"/>
      <c r="AU301" s="127"/>
      <c r="AV301" s="127"/>
      <c r="AW301" s="127"/>
      <c r="AX301" s="127"/>
      <c r="AY301" s="127"/>
      <c r="AZ301" s="127"/>
      <c r="BA301" s="127"/>
      <c r="BB301" s="127"/>
      <c r="BC301" s="127"/>
      <c r="BD301" s="127"/>
      <c r="BE301" s="127"/>
      <c r="BF301" s="127"/>
      <c r="BG301" s="127"/>
      <c r="BH301" s="127"/>
      <c r="BI301" s="127"/>
      <c r="BJ301" s="127"/>
      <c r="BK301" s="127"/>
      <c r="BL301" s="127"/>
      <c r="BM301" s="127"/>
      <c r="BN301" s="127"/>
      <c r="BO301" s="127"/>
      <c r="BP301" s="127"/>
      <c r="BQ301" s="127"/>
      <c r="BR301" s="127"/>
      <c r="BS301" s="127"/>
      <c r="BT301" s="127"/>
      <c r="BU301" s="127"/>
      <c r="BV301" s="127"/>
      <c r="BW301" s="127"/>
      <c r="BX301" s="127"/>
      <c r="BY301" s="127"/>
      <c r="BZ301" s="127"/>
    </row>
    <row r="302" spans="2:78" s="139" customFormat="1" outlineLevel="1">
      <c r="C302" s="140" t="s">
        <v>1358</v>
      </c>
      <c r="H302" s="141"/>
      <c r="I302" s="141"/>
      <c r="J302" s="141"/>
      <c r="K302" s="141"/>
      <c r="L302" s="141"/>
      <c r="M302" s="142"/>
      <c r="N302" s="143">
        <f>SUBTOTAL(9,N299:N301)</f>
        <v>7500</v>
      </c>
      <c r="O302" s="144">
        <f>SUBTOTAL(9,O301:O301)</f>
        <v>0</v>
      </c>
      <c r="P302" s="144">
        <f t="shared" ref="P302:BO302" si="35">SUBTOTAL(9,P301:P301)</f>
        <v>0</v>
      </c>
      <c r="Q302" s="144">
        <f t="shared" si="35"/>
        <v>0</v>
      </c>
      <c r="R302" s="144">
        <f t="shared" si="35"/>
        <v>0</v>
      </c>
      <c r="S302" s="144">
        <f t="shared" si="35"/>
        <v>0</v>
      </c>
      <c r="T302" s="144">
        <f t="shared" si="35"/>
        <v>0</v>
      </c>
      <c r="U302" s="144">
        <f t="shared" si="35"/>
        <v>0</v>
      </c>
      <c r="V302" s="144">
        <f t="shared" si="35"/>
        <v>0</v>
      </c>
      <c r="W302" s="144">
        <f t="shared" si="35"/>
        <v>0</v>
      </c>
      <c r="X302" s="144">
        <f t="shared" si="35"/>
        <v>0</v>
      </c>
      <c r="Y302" s="144">
        <f t="shared" si="35"/>
        <v>0</v>
      </c>
      <c r="Z302" s="144">
        <f t="shared" si="35"/>
        <v>0</v>
      </c>
      <c r="AA302" s="144">
        <f t="shared" si="35"/>
        <v>0</v>
      </c>
      <c r="AB302" s="144">
        <f t="shared" si="35"/>
        <v>0</v>
      </c>
      <c r="AC302" s="144">
        <f t="shared" si="35"/>
        <v>0</v>
      </c>
      <c r="AD302" s="144">
        <f t="shared" si="35"/>
        <v>0</v>
      </c>
      <c r="AE302" s="144">
        <f t="shared" si="35"/>
        <v>0</v>
      </c>
      <c r="AF302" s="144">
        <f t="shared" si="35"/>
        <v>0</v>
      </c>
      <c r="AG302" s="144">
        <f t="shared" si="35"/>
        <v>0</v>
      </c>
      <c r="AH302" s="144">
        <f t="shared" si="35"/>
        <v>0</v>
      </c>
      <c r="AI302" s="144">
        <f t="shared" si="35"/>
        <v>0</v>
      </c>
      <c r="AJ302" s="144">
        <f t="shared" si="35"/>
        <v>0</v>
      </c>
      <c r="AK302" s="144">
        <f t="shared" si="35"/>
        <v>0</v>
      </c>
      <c r="AL302" s="144">
        <f t="shared" si="35"/>
        <v>0</v>
      </c>
      <c r="AM302" s="144">
        <f t="shared" si="35"/>
        <v>0</v>
      </c>
      <c r="AN302" s="144">
        <f t="shared" si="35"/>
        <v>0</v>
      </c>
      <c r="AO302" s="144">
        <f t="shared" si="35"/>
        <v>0</v>
      </c>
      <c r="AP302" s="144">
        <f t="shared" si="35"/>
        <v>0</v>
      </c>
      <c r="AQ302" s="144">
        <f t="shared" si="35"/>
        <v>0</v>
      </c>
      <c r="AR302" s="144">
        <f t="shared" si="35"/>
        <v>0</v>
      </c>
      <c r="AS302" s="144">
        <f t="shared" si="35"/>
        <v>0</v>
      </c>
      <c r="AT302" s="144">
        <f t="shared" si="35"/>
        <v>0</v>
      </c>
      <c r="AU302" s="144">
        <f t="shared" si="35"/>
        <v>0</v>
      </c>
      <c r="AV302" s="144">
        <f t="shared" si="35"/>
        <v>0</v>
      </c>
      <c r="AW302" s="144">
        <f t="shared" si="35"/>
        <v>0</v>
      </c>
      <c r="AX302" s="144">
        <f t="shared" si="35"/>
        <v>0</v>
      </c>
      <c r="AY302" s="144">
        <f t="shared" si="35"/>
        <v>0</v>
      </c>
      <c r="AZ302" s="144">
        <f t="shared" si="35"/>
        <v>0</v>
      </c>
      <c r="BA302" s="144">
        <f t="shared" si="35"/>
        <v>0</v>
      </c>
      <c r="BB302" s="144">
        <f t="shared" si="35"/>
        <v>0</v>
      </c>
      <c r="BC302" s="144">
        <f t="shared" si="35"/>
        <v>0</v>
      </c>
      <c r="BD302" s="144">
        <f t="shared" si="35"/>
        <v>0</v>
      </c>
      <c r="BE302" s="144">
        <f t="shared" si="35"/>
        <v>0</v>
      </c>
      <c r="BF302" s="144">
        <f t="shared" si="35"/>
        <v>0</v>
      </c>
      <c r="BG302" s="144">
        <f t="shared" si="35"/>
        <v>0</v>
      </c>
      <c r="BH302" s="144">
        <f t="shared" si="35"/>
        <v>0</v>
      </c>
      <c r="BI302" s="144">
        <f t="shared" si="35"/>
        <v>0</v>
      </c>
      <c r="BJ302" s="144">
        <f t="shared" si="35"/>
        <v>0</v>
      </c>
      <c r="BK302" s="144">
        <f t="shared" si="35"/>
        <v>0</v>
      </c>
      <c r="BL302" s="144">
        <f t="shared" si="35"/>
        <v>0</v>
      </c>
      <c r="BM302" s="144">
        <f t="shared" si="35"/>
        <v>0</v>
      </c>
      <c r="BN302" s="144">
        <f t="shared" si="35"/>
        <v>0</v>
      </c>
      <c r="BO302" s="144">
        <f t="shared" si="35"/>
        <v>0</v>
      </c>
      <c r="BP302" s="144"/>
      <c r="BQ302" s="144"/>
      <c r="BR302" s="144"/>
      <c r="BS302" s="144"/>
      <c r="BT302" s="144"/>
      <c r="BU302" s="144"/>
      <c r="BV302" s="144"/>
      <c r="BW302" s="144"/>
      <c r="BX302" s="144"/>
      <c r="BY302" s="144"/>
      <c r="BZ302" s="144">
        <f>SUBTOTAL(9,BZ301:BZ301)</f>
        <v>0</v>
      </c>
    </row>
    <row r="303" spans="2:78" s="121" customFormat="1" outlineLevel="2">
      <c r="B303" s="129" t="s">
        <v>849</v>
      </c>
      <c r="C303" s="121" t="s">
        <v>1359</v>
      </c>
      <c r="D303" s="107" t="s">
        <v>195</v>
      </c>
      <c r="F303" s="107" t="s">
        <v>178</v>
      </c>
      <c r="G303" s="107" t="s">
        <v>434</v>
      </c>
      <c r="H303" s="122" t="s">
        <v>1360</v>
      </c>
      <c r="I303" s="124" t="s">
        <v>296</v>
      </c>
      <c r="J303" s="124"/>
      <c r="K303" s="124" t="s">
        <v>189</v>
      </c>
      <c r="L303" s="124" t="s">
        <v>1175</v>
      </c>
      <c r="M303" s="125" t="s">
        <v>183</v>
      </c>
      <c r="N303" s="126">
        <f t="shared" ref="N303:N317" si="36">SUM(O303:BO303)</f>
        <v>0</v>
      </c>
      <c r="O303" s="127">
        <v>0</v>
      </c>
      <c r="P303" s="127"/>
      <c r="Q303" s="127"/>
      <c r="R303" s="127"/>
      <c r="S303" s="127"/>
      <c r="T303" s="127">
        <v>0</v>
      </c>
      <c r="U303" s="127"/>
      <c r="V303" s="127"/>
      <c r="W303" s="127"/>
      <c r="X303" s="161">
        <v>0</v>
      </c>
      <c r="Y303" s="161"/>
      <c r="Z303" s="161"/>
      <c r="AA303" s="127"/>
      <c r="AB303" s="127">
        <v>0</v>
      </c>
      <c r="AC303" s="127"/>
      <c r="AD303" s="127"/>
      <c r="AE303" s="127"/>
      <c r="AF303" s="127"/>
      <c r="AG303" s="127">
        <v>0</v>
      </c>
      <c r="AH303" s="127"/>
      <c r="AI303" s="127"/>
      <c r="AJ303" s="127"/>
      <c r="AK303" s="127">
        <v>0</v>
      </c>
      <c r="AL303" s="127"/>
      <c r="AM303" s="127"/>
      <c r="AN303" s="127"/>
      <c r="AO303" s="127">
        <v>0</v>
      </c>
      <c r="AP303" s="127"/>
      <c r="AQ303" s="127"/>
      <c r="AR303" s="127"/>
      <c r="AS303" s="127"/>
      <c r="AT303" s="127">
        <v>0</v>
      </c>
      <c r="AU303" s="127"/>
      <c r="AV303" s="127"/>
      <c r="AW303" s="127"/>
      <c r="AX303" s="127">
        <v>0</v>
      </c>
      <c r="AY303" s="127"/>
      <c r="AZ303" s="127"/>
      <c r="BA303" s="127"/>
      <c r="BB303" s="127">
        <v>0</v>
      </c>
      <c r="BC303" s="127"/>
      <c r="BD303" s="127"/>
      <c r="BE303" s="127"/>
      <c r="BF303" s="127"/>
      <c r="BG303" s="127">
        <v>0</v>
      </c>
      <c r="BH303" s="127"/>
      <c r="BI303" s="127"/>
      <c r="BJ303" s="127"/>
      <c r="BK303" s="127">
        <v>0</v>
      </c>
      <c r="BL303" s="127"/>
      <c r="BM303" s="127"/>
      <c r="BN303" s="127"/>
      <c r="BO303" s="127"/>
      <c r="BP303" s="127" t="s">
        <v>1361</v>
      </c>
      <c r="BQ303" s="127" t="s">
        <v>1305</v>
      </c>
      <c r="BR303" s="127" t="s">
        <v>1362</v>
      </c>
      <c r="BS303" s="127" t="s">
        <v>1363</v>
      </c>
      <c r="BT303" s="127" t="s">
        <v>188</v>
      </c>
      <c r="BU303" s="127" t="s">
        <v>189</v>
      </c>
      <c r="BV303" s="127" t="s">
        <v>304</v>
      </c>
      <c r="BW303" s="127" t="s">
        <v>191</v>
      </c>
      <c r="BX303" s="127" t="s">
        <v>189</v>
      </c>
      <c r="BY303" s="127" t="s">
        <v>189</v>
      </c>
      <c r="BZ303" s="138" t="s">
        <v>798</v>
      </c>
    </row>
    <row r="304" spans="2:78" s="121" customFormat="1" outlineLevel="2">
      <c r="B304" s="121" t="s">
        <v>849</v>
      </c>
      <c r="C304" s="121" t="s">
        <v>1359</v>
      </c>
      <c r="D304" s="107" t="s">
        <v>195</v>
      </c>
      <c r="F304" s="107" t="s">
        <v>178</v>
      </c>
      <c r="G304" s="107" t="s">
        <v>199</v>
      </c>
      <c r="H304" s="122" t="s">
        <v>1364</v>
      </c>
      <c r="I304" s="124" t="s">
        <v>296</v>
      </c>
      <c r="J304" s="124"/>
      <c r="K304" s="124" t="s">
        <v>1365</v>
      </c>
      <c r="L304" s="124" t="s">
        <v>1175</v>
      </c>
      <c r="M304" s="125" t="s">
        <v>183</v>
      </c>
      <c r="N304" s="126">
        <f t="shared" si="36"/>
        <v>9600</v>
      </c>
      <c r="O304" s="130">
        <v>1200</v>
      </c>
      <c r="P304" s="130">
        <v>2400</v>
      </c>
      <c r="Q304" s="130">
        <v>2400</v>
      </c>
      <c r="R304" s="130">
        <v>2400</v>
      </c>
      <c r="S304" s="130">
        <v>1200</v>
      </c>
      <c r="T304" s="127"/>
      <c r="U304" s="127"/>
      <c r="V304" s="127"/>
      <c r="W304" s="127"/>
      <c r="X304" s="161">
        <v>0</v>
      </c>
      <c r="Y304" s="161"/>
      <c r="Z304" s="161"/>
      <c r="AA304" s="127"/>
      <c r="AB304" s="127">
        <v>0</v>
      </c>
      <c r="AC304" s="127"/>
      <c r="AD304" s="127"/>
      <c r="AE304" s="127"/>
      <c r="AF304" s="127"/>
      <c r="AG304" s="127">
        <v>0</v>
      </c>
      <c r="AH304" s="127"/>
      <c r="AI304" s="127"/>
      <c r="AJ304" s="127"/>
      <c r="AK304" s="127">
        <v>0</v>
      </c>
      <c r="AL304" s="127"/>
      <c r="AM304" s="127"/>
      <c r="AN304" s="127"/>
      <c r="AO304" s="127">
        <v>0</v>
      </c>
      <c r="AP304" s="127"/>
      <c r="AQ304" s="127"/>
      <c r="AR304" s="127"/>
      <c r="AS304" s="127"/>
      <c r="AT304" s="127">
        <v>0</v>
      </c>
      <c r="AU304" s="127"/>
      <c r="AV304" s="127"/>
      <c r="AW304" s="127"/>
      <c r="AX304" s="127">
        <v>0</v>
      </c>
      <c r="AY304" s="127"/>
      <c r="AZ304" s="127"/>
      <c r="BA304" s="127"/>
      <c r="BB304" s="127">
        <v>0</v>
      </c>
      <c r="BC304" s="127"/>
      <c r="BD304" s="127"/>
      <c r="BE304" s="127"/>
      <c r="BF304" s="127"/>
      <c r="BG304" s="127">
        <v>0</v>
      </c>
      <c r="BH304" s="127"/>
      <c r="BI304" s="127"/>
      <c r="BJ304" s="127"/>
      <c r="BK304" s="127">
        <v>0</v>
      </c>
      <c r="BL304" s="127"/>
      <c r="BM304" s="127"/>
      <c r="BN304" s="127"/>
      <c r="BO304" s="127"/>
      <c r="BP304" s="127" t="s">
        <v>1366</v>
      </c>
      <c r="BQ304" s="127" t="s">
        <v>915</v>
      </c>
      <c r="BR304" s="127" t="s">
        <v>1367</v>
      </c>
      <c r="BS304" s="127" t="s">
        <v>1368</v>
      </c>
      <c r="BT304" s="127" t="s">
        <v>188</v>
      </c>
      <c r="BU304" s="127" t="s">
        <v>189</v>
      </c>
      <c r="BV304" s="127" t="s">
        <v>229</v>
      </c>
      <c r="BW304" s="127" t="s">
        <v>191</v>
      </c>
      <c r="BX304" s="127" t="s">
        <v>1369</v>
      </c>
      <c r="BY304" s="127" t="s">
        <v>206</v>
      </c>
      <c r="BZ304" s="127" t="s">
        <v>1189</v>
      </c>
    </row>
    <row r="305" spans="2:78" s="121" customFormat="1" outlineLevel="2">
      <c r="B305" s="121" t="s">
        <v>849</v>
      </c>
      <c r="C305" s="121" t="s">
        <v>1359</v>
      </c>
      <c r="D305" s="107" t="s">
        <v>195</v>
      </c>
      <c r="E305" s="148" t="s">
        <v>1370</v>
      </c>
      <c r="F305" s="107" t="s">
        <v>178</v>
      </c>
      <c r="G305" s="107" t="s">
        <v>199</v>
      </c>
      <c r="H305" s="122" t="s">
        <v>1162</v>
      </c>
      <c r="I305" s="124" t="s">
        <v>436</v>
      </c>
      <c r="J305" s="124"/>
      <c r="K305" s="124" t="s">
        <v>1371</v>
      </c>
      <c r="L305" s="124" t="s">
        <v>1164</v>
      </c>
      <c r="M305" s="125" t="s">
        <v>183</v>
      </c>
      <c r="N305" s="126">
        <f t="shared" si="36"/>
        <v>3400</v>
      </c>
      <c r="O305" s="127">
        <v>0</v>
      </c>
      <c r="P305" s="127"/>
      <c r="Q305" s="127"/>
      <c r="R305" s="127"/>
      <c r="S305" s="127"/>
      <c r="T305" s="127"/>
      <c r="U305" s="127"/>
      <c r="V305" s="130">
        <v>2300</v>
      </c>
      <c r="W305" s="127"/>
      <c r="X305" s="130">
        <v>1100</v>
      </c>
      <c r="Y305" s="161"/>
      <c r="Z305" s="161"/>
      <c r="AA305" s="127"/>
      <c r="AB305" s="127">
        <v>0</v>
      </c>
      <c r="AC305" s="127"/>
      <c r="AD305" s="127"/>
      <c r="AE305" s="127"/>
      <c r="AF305" s="127"/>
      <c r="AG305" s="127">
        <v>0</v>
      </c>
      <c r="AH305" s="127"/>
      <c r="AI305" s="127"/>
      <c r="AJ305" s="127"/>
      <c r="AK305" s="127">
        <v>0</v>
      </c>
      <c r="AL305" s="127"/>
      <c r="AM305" s="127"/>
      <c r="AN305" s="127"/>
      <c r="AO305" s="127">
        <v>0</v>
      </c>
      <c r="AP305" s="127"/>
      <c r="AQ305" s="127"/>
      <c r="AR305" s="127"/>
      <c r="AS305" s="127"/>
      <c r="AT305" s="127">
        <v>0</v>
      </c>
      <c r="AU305" s="127"/>
      <c r="AV305" s="127"/>
      <c r="AW305" s="127"/>
      <c r="AX305" s="127">
        <v>0</v>
      </c>
      <c r="AY305" s="127"/>
      <c r="AZ305" s="127"/>
      <c r="BA305" s="127"/>
      <c r="BB305" s="127"/>
      <c r="BC305" s="127"/>
      <c r="BD305" s="127"/>
      <c r="BE305" s="127"/>
      <c r="BF305" s="127"/>
      <c r="BG305" s="127">
        <v>0</v>
      </c>
      <c r="BH305" s="127"/>
      <c r="BI305" s="127"/>
      <c r="BJ305" s="127"/>
      <c r="BK305" s="127">
        <v>0</v>
      </c>
      <c r="BL305" s="127"/>
      <c r="BM305" s="127"/>
      <c r="BN305" s="127"/>
      <c r="BO305" s="127"/>
      <c r="BP305" s="127" t="s">
        <v>1165</v>
      </c>
      <c r="BQ305" s="127" t="s">
        <v>1166</v>
      </c>
      <c r="BR305" s="127" t="s">
        <v>1167</v>
      </c>
      <c r="BS305" s="127" t="s">
        <v>1168</v>
      </c>
      <c r="BT305" s="127" t="s">
        <v>188</v>
      </c>
      <c r="BU305" s="127" t="s">
        <v>189</v>
      </c>
      <c r="BV305" s="127" t="s">
        <v>205</v>
      </c>
      <c r="BW305" s="127" t="s">
        <v>191</v>
      </c>
      <c r="BX305" s="127" t="s">
        <v>1169</v>
      </c>
      <c r="BY305" s="127" t="s">
        <v>189</v>
      </c>
      <c r="BZ305" s="131" t="s">
        <v>1170</v>
      </c>
    </row>
    <row r="306" spans="2:78" s="121" customFormat="1" outlineLevel="2">
      <c r="B306" s="121" t="s">
        <v>849</v>
      </c>
      <c r="C306" s="107" t="s">
        <v>1372</v>
      </c>
      <c r="D306" s="107"/>
      <c r="F306" s="107" t="s">
        <v>89</v>
      </c>
      <c r="H306" s="122" t="s">
        <v>1373</v>
      </c>
      <c r="I306" s="124"/>
      <c r="J306" s="124"/>
      <c r="K306" s="124" t="s">
        <v>1374</v>
      </c>
      <c r="L306" s="124" t="s">
        <v>1164</v>
      </c>
      <c r="M306" s="125" t="s">
        <v>183</v>
      </c>
      <c r="N306" s="126">
        <f t="shared" si="36"/>
        <v>5250</v>
      </c>
      <c r="O306" s="127"/>
      <c r="P306" s="127"/>
      <c r="Q306" s="127"/>
      <c r="R306" s="130">
        <v>5250</v>
      </c>
      <c r="S306" s="127"/>
      <c r="T306" s="127">
        <v>0</v>
      </c>
      <c r="U306" s="127"/>
      <c r="V306" s="127"/>
      <c r="W306" s="127"/>
      <c r="X306" s="161">
        <v>0</v>
      </c>
      <c r="Y306" s="161"/>
      <c r="Z306" s="161"/>
      <c r="AA306" s="127"/>
      <c r="AB306" s="127">
        <v>0</v>
      </c>
      <c r="AC306" s="127"/>
      <c r="AD306" s="127"/>
      <c r="AE306" s="127"/>
      <c r="AF306" s="127"/>
      <c r="AG306" s="127">
        <v>0</v>
      </c>
      <c r="AH306" s="127"/>
      <c r="AI306" s="127"/>
      <c r="AJ306" s="127"/>
      <c r="AK306" s="127">
        <v>0</v>
      </c>
      <c r="AL306" s="127"/>
      <c r="AM306" s="127"/>
      <c r="AN306" s="127"/>
      <c r="AO306" s="127">
        <v>0</v>
      </c>
      <c r="AP306" s="127"/>
      <c r="AQ306" s="127"/>
      <c r="AR306" s="127"/>
      <c r="AS306" s="127"/>
      <c r="AT306" s="127">
        <v>0</v>
      </c>
      <c r="AU306" s="127"/>
      <c r="AV306" s="127"/>
      <c r="AW306" s="127"/>
      <c r="AX306" s="127">
        <v>0</v>
      </c>
      <c r="AY306" s="127"/>
      <c r="AZ306" s="127"/>
      <c r="BA306" s="127"/>
      <c r="BB306" s="127">
        <v>0</v>
      </c>
      <c r="BC306" s="127"/>
      <c r="BD306" s="127"/>
      <c r="BE306" s="127"/>
      <c r="BF306" s="127"/>
      <c r="BG306" s="127">
        <v>0</v>
      </c>
      <c r="BH306" s="127"/>
      <c r="BI306" s="127"/>
      <c r="BJ306" s="127"/>
      <c r="BK306" s="127">
        <v>0</v>
      </c>
      <c r="BL306" s="127"/>
      <c r="BM306" s="127"/>
      <c r="BN306" s="127"/>
      <c r="BO306" s="127"/>
      <c r="BP306" s="127" t="s">
        <v>1375</v>
      </c>
      <c r="BQ306" s="127" t="s">
        <v>1376</v>
      </c>
      <c r="BR306" s="127" t="s">
        <v>1377</v>
      </c>
      <c r="BS306" s="127" t="s">
        <v>1378</v>
      </c>
      <c r="BT306" s="127" t="s">
        <v>303</v>
      </c>
      <c r="BU306" s="127" t="s">
        <v>189</v>
      </c>
      <c r="BV306" s="127" t="s">
        <v>229</v>
      </c>
      <c r="BW306" s="127" t="s">
        <v>191</v>
      </c>
      <c r="BX306" s="127" t="s">
        <v>828</v>
      </c>
      <c r="BY306" s="127" t="s">
        <v>878</v>
      </c>
      <c r="BZ306" s="127" t="s">
        <v>1379</v>
      </c>
    </row>
    <row r="307" spans="2:78" s="121" customFormat="1" outlineLevel="2">
      <c r="B307" s="121" t="s">
        <v>849</v>
      </c>
      <c r="C307" s="107" t="s">
        <v>1359</v>
      </c>
      <c r="D307" s="107" t="s">
        <v>198</v>
      </c>
      <c r="E307" s="107" t="s">
        <v>1380</v>
      </c>
      <c r="F307" s="107" t="s">
        <v>178</v>
      </c>
      <c r="H307" s="122" t="s">
        <v>1373</v>
      </c>
      <c r="I307" s="124"/>
      <c r="J307" s="124"/>
      <c r="K307" s="124" t="s">
        <v>1381</v>
      </c>
      <c r="L307" s="124" t="s">
        <v>1164</v>
      </c>
      <c r="M307" s="125" t="s">
        <v>183</v>
      </c>
      <c r="N307" s="126">
        <f>SUM(O307:BO307)</f>
        <v>750</v>
      </c>
      <c r="O307" s="127"/>
      <c r="P307" s="127"/>
      <c r="Q307" s="127"/>
      <c r="R307" s="130">
        <v>750</v>
      </c>
      <c r="S307" s="127"/>
      <c r="T307" s="127">
        <v>0</v>
      </c>
      <c r="U307" s="127"/>
      <c r="V307" s="127"/>
      <c r="W307" s="127"/>
      <c r="X307" s="161">
        <v>0</v>
      </c>
      <c r="Y307" s="161"/>
      <c r="Z307" s="161"/>
      <c r="AA307" s="127"/>
      <c r="AB307" s="127">
        <v>0</v>
      </c>
      <c r="AC307" s="127"/>
      <c r="AD307" s="127"/>
      <c r="AE307" s="127"/>
      <c r="AF307" s="127"/>
      <c r="AG307" s="127">
        <v>0</v>
      </c>
      <c r="AH307" s="127"/>
      <c r="AI307" s="127"/>
      <c r="AJ307" s="127"/>
      <c r="AK307" s="127">
        <v>0</v>
      </c>
      <c r="AL307" s="127"/>
      <c r="AM307" s="127"/>
      <c r="AN307" s="127"/>
      <c r="AO307" s="127">
        <v>0</v>
      </c>
      <c r="AP307" s="127"/>
      <c r="AQ307" s="127"/>
      <c r="AR307" s="127"/>
      <c r="AS307" s="127"/>
      <c r="AT307" s="127">
        <v>0</v>
      </c>
      <c r="AU307" s="127"/>
      <c r="AV307" s="127"/>
      <c r="AW307" s="127"/>
      <c r="AX307" s="127">
        <v>0</v>
      </c>
      <c r="AY307" s="127"/>
      <c r="AZ307" s="127"/>
      <c r="BA307" s="127"/>
      <c r="BB307" s="127">
        <v>0</v>
      </c>
      <c r="BC307" s="127"/>
      <c r="BD307" s="127"/>
      <c r="BE307" s="127"/>
      <c r="BF307" s="127"/>
      <c r="BG307" s="127">
        <v>0</v>
      </c>
      <c r="BH307" s="127"/>
      <c r="BI307" s="127"/>
      <c r="BJ307" s="127"/>
      <c r="BK307" s="127">
        <v>0</v>
      </c>
      <c r="BL307" s="127"/>
      <c r="BM307" s="127"/>
      <c r="BN307" s="127"/>
      <c r="BO307" s="127"/>
      <c r="BP307" s="127" t="s">
        <v>1375</v>
      </c>
      <c r="BQ307" s="127" t="s">
        <v>1376</v>
      </c>
      <c r="BR307" s="127" t="s">
        <v>1377</v>
      </c>
      <c r="BS307" s="127" t="s">
        <v>1378</v>
      </c>
      <c r="BT307" s="127" t="s">
        <v>303</v>
      </c>
      <c r="BU307" s="127" t="s">
        <v>189</v>
      </c>
      <c r="BV307" s="127" t="s">
        <v>229</v>
      </c>
      <c r="BW307" s="127" t="s">
        <v>191</v>
      </c>
      <c r="BX307" s="127" t="s">
        <v>828</v>
      </c>
      <c r="BY307" s="127" t="s">
        <v>878</v>
      </c>
      <c r="BZ307" s="127" t="s">
        <v>1379</v>
      </c>
    </row>
    <row r="308" spans="2:78" s="121" customFormat="1" outlineLevel="2">
      <c r="B308" s="121" t="s">
        <v>849</v>
      </c>
      <c r="C308" s="121" t="s">
        <v>1359</v>
      </c>
      <c r="D308" s="121" t="s">
        <v>195</v>
      </c>
      <c r="F308" s="107" t="s">
        <v>178</v>
      </c>
      <c r="G308" s="107" t="s">
        <v>199</v>
      </c>
      <c r="H308" s="122" t="s">
        <v>1382</v>
      </c>
      <c r="I308" s="124" t="s">
        <v>290</v>
      </c>
      <c r="J308" s="124"/>
      <c r="K308" s="124" t="s">
        <v>1383</v>
      </c>
      <c r="L308" s="124" t="s">
        <v>1335</v>
      </c>
      <c r="M308" s="125" t="s">
        <v>183</v>
      </c>
      <c r="N308" s="126">
        <f t="shared" si="36"/>
        <v>28800</v>
      </c>
      <c r="O308" s="127"/>
      <c r="P308" s="127"/>
      <c r="Q308" s="127"/>
      <c r="R308" s="127"/>
      <c r="S308" s="127"/>
      <c r="T308" s="127">
        <v>0</v>
      </c>
      <c r="U308" s="130">
        <v>1200</v>
      </c>
      <c r="V308" s="130">
        <v>1200</v>
      </c>
      <c r="W308" s="127">
        <v>2400</v>
      </c>
      <c r="X308" s="161">
        <v>1200</v>
      </c>
      <c r="Y308" s="161"/>
      <c r="Z308" s="161"/>
      <c r="AA308" s="127">
        <v>1200</v>
      </c>
      <c r="AB308" s="127">
        <v>1200</v>
      </c>
      <c r="AC308" s="127">
        <v>1200</v>
      </c>
      <c r="AD308" s="127">
        <v>1200</v>
      </c>
      <c r="AE308" s="127">
        <v>2400</v>
      </c>
      <c r="AF308" s="127">
        <v>1200</v>
      </c>
      <c r="AG308" s="127">
        <v>2400</v>
      </c>
      <c r="AH308" s="127">
        <v>2400</v>
      </c>
      <c r="AI308" s="127">
        <v>2400</v>
      </c>
      <c r="AJ308" s="127">
        <v>2400</v>
      </c>
      <c r="AK308" s="127">
        <v>2400</v>
      </c>
      <c r="AL308" s="127">
        <v>2400</v>
      </c>
      <c r="AM308" s="127"/>
      <c r="AN308" s="127"/>
      <c r="AO308" s="127">
        <v>0</v>
      </c>
      <c r="AP308" s="127"/>
      <c r="AQ308" s="127"/>
      <c r="AR308" s="127"/>
      <c r="AS308" s="127"/>
      <c r="AT308" s="127">
        <v>0</v>
      </c>
      <c r="AU308" s="127"/>
      <c r="AV308" s="127"/>
      <c r="AW308" s="127"/>
      <c r="AX308" s="127">
        <v>0</v>
      </c>
      <c r="AY308" s="127"/>
      <c r="AZ308" s="127"/>
      <c r="BA308" s="127"/>
      <c r="BB308" s="127">
        <v>0</v>
      </c>
      <c r="BC308" s="127"/>
      <c r="BD308" s="127"/>
      <c r="BE308" s="127"/>
      <c r="BF308" s="127"/>
      <c r="BG308" s="127">
        <v>0</v>
      </c>
      <c r="BH308" s="127"/>
      <c r="BI308" s="127"/>
      <c r="BJ308" s="127"/>
      <c r="BK308" s="127">
        <v>0</v>
      </c>
      <c r="BL308" s="127"/>
      <c r="BM308" s="127"/>
      <c r="BN308" s="127"/>
      <c r="BO308" s="127"/>
      <c r="BP308" s="127" t="s">
        <v>1384</v>
      </c>
      <c r="BQ308" s="127" t="s">
        <v>1385</v>
      </c>
      <c r="BR308" s="127" t="s">
        <v>1386</v>
      </c>
      <c r="BS308" s="127" t="s">
        <v>1387</v>
      </c>
      <c r="BT308" s="127" t="s">
        <v>188</v>
      </c>
      <c r="BU308" s="127" t="s">
        <v>997</v>
      </c>
      <c r="BV308" s="127" t="s">
        <v>229</v>
      </c>
      <c r="BW308" s="127" t="s">
        <v>191</v>
      </c>
      <c r="BX308" s="127" t="s">
        <v>1388</v>
      </c>
      <c r="BY308" s="127" t="s">
        <v>422</v>
      </c>
      <c r="BZ308" s="127" t="s">
        <v>1340</v>
      </c>
    </row>
    <row r="309" spans="2:78" s="121" customFormat="1" outlineLevel="2">
      <c r="B309" s="121" t="s">
        <v>849</v>
      </c>
      <c r="C309" s="121" t="s">
        <v>1359</v>
      </c>
      <c r="D309" s="121" t="s">
        <v>195</v>
      </c>
      <c r="F309" s="107" t="s">
        <v>178</v>
      </c>
      <c r="H309" s="122" t="s">
        <v>1389</v>
      </c>
      <c r="I309" s="124" t="s">
        <v>290</v>
      </c>
      <c r="J309" s="124"/>
      <c r="K309" s="124" t="s">
        <v>1390</v>
      </c>
      <c r="L309" s="124" t="s">
        <v>1335</v>
      </c>
      <c r="M309" s="125" t="s">
        <v>183</v>
      </c>
      <c r="N309" s="126">
        <f t="shared" si="36"/>
        <v>2200</v>
      </c>
      <c r="O309" s="127"/>
      <c r="P309" s="127"/>
      <c r="Q309" s="127"/>
      <c r="R309" s="127"/>
      <c r="S309" s="127"/>
      <c r="T309" s="127"/>
      <c r="U309" s="127"/>
      <c r="V309" s="127"/>
      <c r="W309" s="127"/>
      <c r="X309" s="161"/>
      <c r="Y309" s="161"/>
      <c r="Z309" s="161"/>
      <c r="AA309" s="127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>
        <v>1100</v>
      </c>
      <c r="AN309" s="127">
        <v>1100</v>
      </c>
      <c r="AO309" s="127"/>
      <c r="AP309" s="127"/>
      <c r="AQ309" s="127"/>
      <c r="AR309" s="127"/>
      <c r="AS309" s="127"/>
      <c r="AT309" s="127"/>
      <c r="AU309" s="127"/>
      <c r="AV309" s="127"/>
      <c r="AW309" s="127"/>
      <c r="AX309" s="127"/>
      <c r="AY309" s="127"/>
      <c r="AZ309" s="127"/>
      <c r="BA309" s="127"/>
      <c r="BB309" s="127"/>
      <c r="BC309" s="127"/>
      <c r="BD309" s="127"/>
      <c r="BE309" s="127"/>
      <c r="BF309" s="127"/>
      <c r="BG309" s="127"/>
      <c r="BH309" s="127"/>
      <c r="BI309" s="127"/>
      <c r="BJ309" s="127"/>
      <c r="BK309" s="127"/>
      <c r="BL309" s="127"/>
      <c r="BM309" s="127"/>
      <c r="BN309" s="127"/>
      <c r="BO309" s="127"/>
      <c r="BP309" s="127"/>
      <c r="BQ309" s="127"/>
      <c r="BR309" s="127"/>
      <c r="BS309" s="127"/>
      <c r="BT309" s="127"/>
      <c r="BU309" s="127"/>
      <c r="BV309" s="127"/>
      <c r="BW309" s="127"/>
      <c r="BX309" s="127"/>
      <c r="BY309" s="127"/>
      <c r="BZ309" s="127"/>
    </row>
    <row r="310" spans="2:78" s="121" customFormat="1" outlineLevel="2">
      <c r="B310" s="121" t="s">
        <v>849</v>
      </c>
      <c r="C310" s="121" t="s">
        <v>1359</v>
      </c>
      <c r="D310" s="107" t="s">
        <v>195</v>
      </c>
      <c r="F310" s="107" t="s">
        <v>178</v>
      </c>
      <c r="H310" s="124" t="s">
        <v>1391</v>
      </c>
      <c r="I310" s="124"/>
      <c r="J310" s="124"/>
      <c r="K310" s="124" t="s">
        <v>1392</v>
      </c>
      <c r="L310" s="124" t="s">
        <v>1335</v>
      </c>
      <c r="M310" s="125" t="s">
        <v>183</v>
      </c>
      <c r="N310" s="126">
        <f t="shared" si="36"/>
        <v>2644</v>
      </c>
      <c r="O310" s="127">
        <v>0</v>
      </c>
      <c r="P310" s="127"/>
      <c r="Q310" s="127"/>
      <c r="R310" s="127"/>
      <c r="S310" s="127"/>
      <c r="T310" s="127">
        <v>0</v>
      </c>
      <c r="U310" s="127"/>
      <c r="V310" s="127"/>
      <c r="W310" s="127"/>
      <c r="X310" s="161">
        <v>0</v>
      </c>
      <c r="Y310" s="161"/>
      <c r="Z310" s="161"/>
      <c r="AA310" s="127"/>
      <c r="AB310" s="127">
        <v>0</v>
      </c>
      <c r="AC310" s="127"/>
      <c r="AD310" s="127"/>
      <c r="AE310" s="127"/>
      <c r="AF310" s="127"/>
      <c r="AG310" s="127">
        <v>0</v>
      </c>
      <c r="AH310" s="127"/>
      <c r="AI310" s="127"/>
      <c r="AJ310" s="127"/>
      <c r="AK310" s="127">
        <v>0</v>
      </c>
      <c r="AL310" s="127"/>
      <c r="AM310" s="127"/>
      <c r="AN310" s="127"/>
      <c r="AO310" s="127">
        <v>2644</v>
      </c>
      <c r="AP310" s="127"/>
      <c r="AQ310" s="127"/>
      <c r="AR310" s="127"/>
      <c r="AS310" s="127"/>
      <c r="AT310" s="127">
        <v>0</v>
      </c>
      <c r="AU310" s="127"/>
      <c r="AV310" s="127"/>
      <c r="AW310" s="127"/>
      <c r="AX310" s="127">
        <v>0</v>
      </c>
      <c r="AY310" s="127"/>
      <c r="AZ310" s="127"/>
      <c r="BA310" s="127"/>
      <c r="BB310" s="127">
        <v>0</v>
      </c>
      <c r="BC310" s="127"/>
      <c r="BD310" s="127"/>
      <c r="BE310" s="127"/>
      <c r="BF310" s="127"/>
      <c r="BG310" s="127">
        <v>0</v>
      </c>
      <c r="BH310" s="127"/>
      <c r="BI310" s="127"/>
      <c r="BJ310" s="127"/>
      <c r="BK310" s="127">
        <v>0</v>
      </c>
      <c r="BL310" s="127"/>
      <c r="BM310" s="127"/>
      <c r="BN310" s="127"/>
      <c r="BO310" s="127"/>
      <c r="BP310" s="127" t="s">
        <v>1393</v>
      </c>
      <c r="BQ310" s="127" t="s">
        <v>915</v>
      </c>
      <c r="BR310" s="127" t="s">
        <v>1394</v>
      </c>
      <c r="BS310" s="127" t="s">
        <v>1395</v>
      </c>
      <c r="BT310" s="127" t="s">
        <v>188</v>
      </c>
      <c r="BU310" s="127" t="s">
        <v>189</v>
      </c>
      <c r="BV310" s="127" t="s">
        <v>229</v>
      </c>
      <c r="BW310" s="127" t="s">
        <v>343</v>
      </c>
      <c r="BX310" s="127" t="s">
        <v>320</v>
      </c>
      <c r="BY310" s="127" t="s">
        <v>189</v>
      </c>
      <c r="BZ310" s="127" t="s">
        <v>1340</v>
      </c>
    </row>
    <row r="311" spans="2:78" s="121" customFormat="1" outlineLevel="2">
      <c r="B311" s="121" t="s">
        <v>849</v>
      </c>
      <c r="C311" s="121" t="s">
        <v>1359</v>
      </c>
      <c r="D311" s="121" t="s">
        <v>198</v>
      </c>
      <c r="F311" s="107" t="s">
        <v>178</v>
      </c>
      <c r="H311" s="124" t="s">
        <v>1396</v>
      </c>
      <c r="I311" s="124"/>
      <c r="J311" s="124"/>
      <c r="K311" s="124" t="s">
        <v>189</v>
      </c>
      <c r="L311" s="124" t="s">
        <v>1164</v>
      </c>
      <c r="M311" s="125" t="s">
        <v>183</v>
      </c>
      <c r="N311" s="126">
        <f t="shared" si="36"/>
        <v>100</v>
      </c>
      <c r="O311" s="127">
        <v>0</v>
      </c>
      <c r="P311" s="127"/>
      <c r="Q311" s="127"/>
      <c r="R311" s="127"/>
      <c r="S311" s="127"/>
      <c r="T311" s="127">
        <v>0</v>
      </c>
      <c r="U311" s="127"/>
      <c r="V311" s="127"/>
      <c r="W311" s="127"/>
      <c r="X311" s="161">
        <v>0</v>
      </c>
      <c r="Y311" s="161"/>
      <c r="Z311" s="161"/>
      <c r="AA311" s="127"/>
      <c r="AB311" s="127">
        <v>0</v>
      </c>
      <c r="AC311" s="127"/>
      <c r="AD311" s="127"/>
      <c r="AE311" s="127"/>
      <c r="AF311" s="127"/>
      <c r="AG311" s="127">
        <v>0</v>
      </c>
      <c r="AH311" s="127"/>
      <c r="AI311" s="127"/>
      <c r="AJ311" s="127"/>
      <c r="AK311" s="127">
        <v>0</v>
      </c>
      <c r="AL311" s="127"/>
      <c r="AM311" s="127"/>
      <c r="AN311" s="127"/>
      <c r="AO311" s="127">
        <v>0</v>
      </c>
      <c r="AP311" s="127"/>
      <c r="AQ311" s="127"/>
      <c r="AR311" s="127"/>
      <c r="AS311" s="127"/>
      <c r="AT311" s="127">
        <v>0</v>
      </c>
      <c r="AU311" s="127"/>
      <c r="AV311" s="127"/>
      <c r="AW311" s="127"/>
      <c r="AX311" s="127">
        <v>0</v>
      </c>
      <c r="AY311" s="127"/>
      <c r="AZ311" s="127"/>
      <c r="BA311" s="127"/>
      <c r="BB311" s="127">
        <v>100</v>
      </c>
      <c r="BC311" s="127"/>
      <c r="BD311" s="127"/>
      <c r="BE311" s="127"/>
      <c r="BF311" s="127"/>
      <c r="BG311" s="127">
        <v>0</v>
      </c>
      <c r="BH311" s="127"/>
      <c r="BI311" s="127"/>
      <c r="BJ311" s="127"/>
      <c r="BK311" s="127">
        <v>0</v>
      </c>
      <c r="BL311" s="127"/>
      <c r="BM311" s="127"/>
      <c r="BN311" s="127"/>
      <c r="BO311" s="127"/>
      <c r="BP311" s="127" t="s">
        <v>1397</v>
      </c>
      <c r="BQ311" s="127" t="s">
        <v>1166</v>
      </c>
      <c r="BR311" s="127" t="s">
        <v>1398</v>
      </c>
      <c r="BS311" s="127" t="s">
        <v>1399</v>
      </c>
      <c r="BT311" s="127" t="s">
        <v>239</v>
      </c>
      <c r="BU311" s="127" t="s">
        <v>189</v>
      </c>
      <c r="BV311" s="127" t="s">
        <v>1327</v>
      </c>
      <c r="BW311" s="127" t="s">
        <v>343</v>
      </c>
      <c r="BX311" s="127" t="s">
        <v>192</v>
      </c>
      <c r="BY311" s="127" t="s">
        <v>1400</v>
      </c>
      <c r="BZ311" s="127" t="s">
        <v>1379</v>
      </c>
    </row>
    <row r="312" spans="2:78" s="121" customFormat="1" outlineLevel="2">
      <c r="B312" s="121" t="s">
        <v>849</v>
      </c>
      <c r="C312" s="121" t="s">
        <v>1359</v>
      </c>
      <c r="D312" s="107" t="s">
        <v>195</v>
      </c>
      <c r="F312" s="107" t="s">
        <v>178</v>
      </c>
      <c r="G312" s="107" t="s">
        <v>1401</v>
      </c>
      <c r="H312" s="122" t="s">
        <v>1402</v>
      </c>
      <c r="I312" s="124" t="s">
        <v>296</v>
      </c>
      <c r="J312" s="124"/>
      <c r="K312" s="124" t="s">
        <v>189</v>
      </c>
      <c r="L312" s="124" t="s">
        <v>1335</v>
      </c>
      <c r="M312" s="125" t="s">
        <v>183</v>
      </c>
      <c r="N312" s="126">
        <f>SUM(O312:BO312)</f>
        <v>0</v>
      </c>
      <c r="O312" s="127">
        <v>0</v>
      </c>
      <c r="P312" s="127"/>
      <c r="Q312" s="127"/>
      <c r="R312" s="127"/>
      <c r="S312" s="127"/>
      <c r="T312" s="127">
        <v>0</v>
      </c>
      <c r="U312" s="127"/>
      <c r="V312" s="127"/>
      <c r="W312" s="127"/>
      <c r="X312" s="161">
        <v>0</v>
      </c>
      <c r="Y312" s="161"/>
      <c r="Z312" s="161"/>
      <c r="AA312" s="127"/>
      <c r="AB312" s="127">
        <v>0</v>
      </c>
      <c r="AC312" s="127"/>
      <c r="AD312" s="127"/>
      <c r="AE312" s="127"/>
      <c r="AF312" s="127"/>
      <c r="AG312" s="127">
        <v>0</v>
      </c>
      <c r="AH312" s="127"/>
      <c r="AI312" s="127"/>
      <c r="AJ312" s="127"/>
      <c r="AK312" s="127">
        <v>0</v>
      </c>
      <c r="AL312" s="127"/>
      <c r="AM312" s="127"/>
      <c r="AN312" s="127"/>
      <c r="AO312" s="127">
        <v>0</v>
      </c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/>
      <c r="BB312" s="127"/>
      <c r="BC312" s="127"/>
      <c r="BD312" s="127"/>
      <c r="BE312" s="127"/>
      <c r="BF312" s="127"/>
      <c r="BG312" s="127"/>
      <c r="BH312" s="127"/>
      <c r="BI312" s="127"/>
      <c r="BJ312" s="127"/>
      <c r="BK312" s="127"/>
      <c r="BL312" s="127"/>
      <c r="BM312" s="127"/>
      <c r="BN312" s="127"/>
      <c r="BO312" s="127"/>
      <c r="BP312" s="127" t="s">
        <v>1403</v>
      </c>
      <c r="BQ312" s="127" t="s">
        <v>1376</v>
      </c>
      <c r="BR312" s="127" t="s">
        <v>1404</v>
      </c>
      <c r="BS312" s="127" t="s">
        <v>1405</v>
      </c>
      <c r="BT312" s="127" t="s">
        <v>188</v>
      </c>
      <c r="BU312" s="127" t="s">
        <v>499</v>
      </c>
      <c r="BV312" s="127" t="s">
        <v>1327</v>
      </c>
      <c r="BW312" s="127" t="s">
        <v>191</v>
      </c>
      <c r="BX312" s="127" t="s">
        <v>1406</v>
      </c>
      <c r="BY312" s="127" t="s">
        <v>1407</v>
      </c>
      <c r="BZ312" s="131" t="s">
        <v>1340</v>
      </c>
    </row>
    <row r="313" spans="2:78" s="121" customFormat="1" outlineLevel="2">
      <c r="B313" s="121" t="s">
        <v>849</v>
      </c>
      <c r="C313" s="121" t="s">
        <v>1359</v>
      </c>
      <c r="D313" s="121" t="s">
        <v>177</v>
      </c>
      <c r="F313" s="107" t="s">
        <v>178</v>
      </c>
      <c r="H313" s="122" t="s">
        <v>1107</v>
      </c>
      <c r="I313" s="123" t="s">
        <v>972</v>
      </c>
      <c r="J313" s="124"/>
      <c r="K313" s="124" t="s">
        <v>1408</v>
      </c>
      <c r="L313" s="124" t="s">
        <v>881</v>
      </c>
      <c r="M313" s="125" t="s">
        <v>183</v>
      </c>
      <c r="N313" s="126">
        <f t="shared" si="36"/>
        <v>59800</v>
      </c>
      <c r="O313" s="127"/>
      <c r="P313" s="127"/>
      <c r="Q313" s="127"/>
      <c r="R313" s="127"/>
      <c r="S313" s="127"/>
      <c r="T313" s="127"/>
      <c r="U313" s="127"/>
      <c r="V313" s="127"/>
      <c r="W313" s="127"/>
      <c r="X313" s="161"/>
      <c r="Y313" s="161"/>
      <c r="Z313" s="161"/>
      <c r="AA313" s="127"/>
      <c r="AB313" s="127"/>
      <c r="AC313" s="127"/>
      <c r="AD313" s="127"/>
      <c r="AE313" s="127"/>
      <c r="AF313" s="127"/>
      <c r="AG313" s="127">
        <v>2300</v>
      </c>
      <c r="AH313" s="127">
        <v>2300</v>
      </c>
      <c r="AI313" s="127">
        <v>2300</v>
      </c>
      <c r="AJ313" s="127">
        <v>2300</v>
      </c>
      <c r="AK313" s="127">
        <v>2300</v>
      </c>
      <c r="AL313" s="127">
        <v>2300</v>
      </c>
      <c r="AM313" s="127">
        <v>2300</v>
      </c>
      <c r="AN313" s="127">
        <v>2300</v>
      </c>
      <c r="AO313" s="127">
        <v>2300</v>
      </c>
      <c r="AP313" s="127">
        <v>2300</v>
      </c>
      <c r="AQ313" s="127">
        <v>2300</v>
      </c>
      <c r="AR313" s="127">
        <v>2300</v>
      </c>
      <c r="AS313" s="127">
        <v>2300</v>
      </c>
      <c r="AT313" s="127">
        <v>2300</v>
      </c>
      <c r="AU313" s="127">
        <v>2300</v>
      </c>
      <c r="AV313" s="127">
        <v>2300</v>
      </c>
      <c r="AW313" s="127">
        <v>2300</v>
      </c>
      <c r="AX313" s="127">
        <v>2300</v>
      </c>
      <c r="AY313" s="127">
        <v>2300</v>
      </c>
      <c r="AZ313" s="127">
        <v>2300</v>
      </c>
      <c r="BA313" s="127">
        <v>2300</v>
      </c>
      <c r="BB313" s="127">
        <v>2300</v>
      </c>
      <c r="BC313" s="127">
        <v>2300</v>
      </c>
      <c r="BD313" s="127">
        <v>2300</v>
      </c>
      <c r="BE313" s="127">
        <v>2300</v>
      </c>
      <c r="BF313" s="127">
        <v>2300</v>
      </c>
      <c r="BG313" s="127">
        <v>0</v>
      </c>
      <c r="BH313" s="127"/>
      <c r="BI313" s="127"/>
      <c r="BJ313" s="127"/>
      <c r="BK313" s="127">
        <v>0</v>
      </c>
      <c r="BL313" s="127"/>
      <c r="BM313" s="127"/>
      <c r="BN313" s="127"/>
      <c r="BO313" s="127"/>
      <c r="BP313" s="127" t="s">
        <v>1109</v>
      </c>
      <c r="BQ313" s="127" t="s">
        <v>915</v>
      </c>
      <c r="BR313" s="127" t="s">
        <v>1110</v>
      </c>
      <c r="BS313" s="127" t="s">
        <v>1111</v>
      </c>
      <c r="BT313" s="127" t="s">
        <v>188</v>
      </c>
      <c r="BU313" s="127" t="s">
        <v>189</v>
      </c>
      <c r="BV313" s="127" t="s">
        <v>190</v>
      </c>
      <c r="BW313" s="127" t="s">
        <v>191</v>
      </c>
      <c r="BX313" s="127" t="s">
        <v>1112</v>
      </c>
      <c r="BY313" s="127" t="s">
        <v>1113</v>
      </c>
      <c r="BZ313" s="128" t="s">
        <v>1114</v>
      </c>
    </row>
    <row r="314" spans="2:78" s="121" customFormat="1" outlineLevel="2">
      <c r="B314" s="121" t="s">
        <v>849</v>
      </c>
      <c r="C314" s="121" t="s">
        <v>1359</v>
      </c>
      <c r="D314" s="121" t="s">
        <v>177</v>
      </c>
      <c r="F314" s="107" t="s">
        <v>178</v>
      </c>
      <c r="H314" s="122" t="s">
        <v>1409</v>
      </c>
      <c r="I314" s="123" t="s">
        <v>180</v>
      </c>
      <c r="J314" s="124"/>
      <c r="K314" s="124" t="s">
        <v>1410</v>
      </c>
      <c r="L314" s="124" t="s">
        <v>881</v>
      </c>
      <c r="M314" s="125" t="s">
        <v>183</v>
      </c>
      <c r="N314" s="126">
        <f t="shared" si="36"/>
        <v>15000</v>
      </c>
      <c r="O314" s="127"/>
      <c r="P314" s="127"/>
      <c r="Q314" s="127"/>
      <c r="R314" s="127"/>
      <c r="S314" s="127"/>
      <c r="T314" s="127"/>
      <c r="U314" s="127"/>
      <c r="V314" s="127"/>
      <c r="W314" s="127"/>
      <c r="X314" s="161"/>
      <c r="Y314" s="161"/>
      <c r="Z314" s="161"/>
      <c r="AA314" s="127"/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  <c r="AO314" s="127"/>
      <c r="AP314" s="127"/>
      <c r="AQ314" s="127"/>
      <c r="AR314" s="127"/>
      <c r="AS314" s="127"/>
      <c r="AT314" s="127"/>
      <c r="AU314" s="127"/>
      <c r="AV314" s="127"/>
      <c r="AW314" s="127"/>
      <c r="AX314" s="127"/>
      <c r="AY314" s="127"/>
      <c r="AZ314" s="127"/>
      <c r="BA314" s="127"/>
      <c r="BB314" s="127"/>
      <c r="BC314" s="127"/>
      <c r="BD314" s="127"/>
      <c r="BE314" s="127"/>
      <c r="BF314" s="127"/>
      <c r="BG314" s="127">
        <v>4000</v>
      </c>
      <c r="BH314" s="127">
        <v>4000</v>
      </c>
      <c r="BI314" s="127">
        <v>4000</v>
      </c>
      <c r="BJ314" s="127">
        <v>3000</v>
      </c>
      <c r="BK314" s="127"/>
      <c r="BL314" s="127"/>
      <c r="BM314" s="127"/>
      <c r="BN314" s="127"/>
      <c r="BO314" s="127"/>
      <c r="BP314" s="146" t="s">
        <v>1411</v>
      </c>
      <c r="BQ314" s="146" t="s">
        <v>915</v>
      </c>
      <c r="BR314" s="146" t="s">
        <v>1412</v>
      </c>
      <c r="BS314" s="146" t="s">
        <v>1413</v>
      </c>
      <c r="BT314" s="146" t="s">
        <v>188</v>
      </c>
      <c r="BU314" s="146" t="s">
        <v>189</v>
      </c>
      <c r="BV314" s="146" t="s">
        <v>190</v>
      </c>
      <c r="BW314" s="146" t="s">
        <v>191</v>
      </c>
      <c r="BX314" s="146" t="s">
        <v>1414</v>
      </c>
      <c r="BY314" s="146" t="s">
        <v>1415</v>
      </c>
      <c r="BZ314" s="146" t="s">
        <v>1114</v>
      </c>
    </row>
    <row r="315" spans="2:78" s="121" customFormat="1" outlineLevel="2">
      <c r="B315" s="121" t="s">
        <v>849</v>
      </c>
      <c r="C315" s="121" t="s">
        <v>1359</v>
      </c>
      <c r="D315" s="121" t="s">
        <v>177</v>
      </c>
      <c r="F315" s="107" t="s">
        <v>178</v>
      </c>
      <c r="H315" s="122" t="s">
        <v>1409</v>
      </c>
      <c r="I315" s="123" t="s">
        <v>180</v>
      </c>
      <c r="J315" s="124"/>
      <c r="K315" s="124" t="s">
        <v>1416</v>
      </c>
      <c r="L315" s="124" t="s">
        <v>881</v>
      </c>
      <c r="M315" s="125" t="s">
        <v>183</v>
      </c>
      <c r="N315" s="126">
        <f>SUM(O315:BO315)</f>
        <v>7000</v>
      </c>
      <c r="O315" s="127"/>
      <c r="P315" s="127"/>
      <c r="Q315" s="127"/>
      <c r="R315" s="127"/>
      <c r="S315" s="127"/>
      <c r="T315" s="127"/>
      <c r="U315" s="127"/>
      <c r="V315" s="127"/>
      <c r="W315" s="127"/>
      <c r="X315" s="161"/>
      <c r="Y315" s="161"/>
      <c r="Z315" s="161"/>
      <c r="AA315" s="127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>
        <v>1000</v>
      </c>
      <c r="BK315" s="127">
        <v>4000</v>
      </c>
      <c r="BL315" s="127">
        <v>2000</v>
      </c>
      <c r="BM315" s="127"/>
      <c r="BN315" s="127"/>
      <c r="BO315" s="127"/>
      <c r="BP315" s="146" t="s">
        <v>1411</v>
      </c>
      <c r="BQ315" s="146" t="s">
        <v>915</v>
      </c>
      <c r="BR315" s="146" t="s">
        <v>1412</v>
      </c>
      <c r="BS315" s="146" t="s">
        <v>1413</v>
      </c>
      <c r="BT315" s="146" t="s">
        <v>188</v>
      </c>
      <c r="BU315" s="146" t="s">
        <v>189</v>
      </c>
      <c r="BV315" s="146" t="s">
        <v>190</v>
      </c>
      <c r="BW315" s="146" t="s">
        <v>191</v>
      </c>
      <c r="BX315" s="146" t="s">
        <v>1414</v>
      </c>
      <c r="BY315" s="146" t="s">
        <v>1415</v>
      </c>
      <c r="BZ315" s="146" t="s">
        <v>1114</v>
      </c>
    </row>
    <row r="316" spans="2:78" s="121" customFormat="1" outlineLevel="2">
      <c r="B316" s="121" t="s">
        <v>849</v>
      </c>
      <c r="C316" s="121" t="s">
        <v>1359</v>
      </c>
      <c r="D316" s="121" t="s">
        <v>195</v>
      </c>
      <c r="F316" s="107" t="s">
        <v>178</v>
      </c>
      <c r="H316" s="122" t="s">
        <v>1409</v>
      </c>
      <c r="I316" s="123" t="s">
        <v>180</v>
      </c>
      <c r="J316" s="124"/>
      <c r="K316" s="124" t="s">
        <v>1416</v>
      </c>
      <c r="L316" s="124" t="s">
        <v>881</v>
      </c>
      <c r="M316" s="125" t="s">
        <v>183</v>
      </c>
      <c r="N316" s="126">
        <f>SUM(O316:BO316)</f>
        <v>2000</v>
      </c>
      <c r="O316" s="127"/>
      <c r="P316" s="127"/>
      <c r="Q316" s="127"/>
      <c r="R316" s="127"/>
      <c r="S316" s="127"/>
      <c r="T316" s="127"/>
      <c r="U316" s="127"/>
      <c r="V316" s="127"/>
      <c r="W316" s="127"/>
      <c r="X316" s="161"/>
      <c r="Y316" s="161"/>
      <c r="Z316" s="161"/>
      <c r="AA316" s="127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27"/>
      <c r="AO316" s="127"/>
      <c r="AP316" s="127"/>
      <c r="AQ316" s="127"/>
      <c r="AR316" s="127"/>
      <c r="AS316" s="127"/>
      <c r="AT316" s="127"/>
      <c r="AU316" s="127"/>
      <c r="AV316" s="127"/>
      <c r="AW316" s="127"/>
      <c r="AX316" s="127"/>
      <c r="AY316" s="127"/>
      <c r="AZ316" s="127"/>
      <c r="BA316" s="127"/>
      <c r="BB316" s="127"/>
      <c r="BC316" s="127"/>
      <c r="BD316" s="127"/>
      <c r="BE316" s="127"/>
      <c r="BF316" s="127"/>
      <c r="BG316" s="127"/>
      <c r="BH316" s="127"/>
      <c r="BI316" s="127"/>
      <c r="BJ316" s="127"/>
      <c r="BK316" s="127"/>
      <c r="BL316" s="127">
        <v>2000</v>
      </c>
      <c r="BM316" s="127"/>
      <c r="BN316" s="127"/>
      <c r="BO316" s="127"/>
      <c r="BP316" s="146" t="s">
        <v>1411</v>
      </c>
      <c r="BQ316" s="146" t="s">
        <v>915</v>
      </c>
      <c r="BR316" s="146" t="s">
        <v>1412</v>
      </c>
      <c r="BS316" s="146" t="s">
        <v>1413</v>
      </c>
      <c r="BT316" s="146" t="s">
        <v>188</v>
      </c>
      <c r="BU316" s="146" t="s">
        <v>189</v>
      </c>
      <c r="BV316" s="146" t="s">
        <v>190</v>
      </c>
      <c r="BW316" s="146" t="s">
        <v>191</v>
      </c>
      <c r="BX316" s="146" t="s">
        <v>1414</v>
      </c>
      <c r="BY316" s="146" t="s">
        <v>1415</v>
      </c>
      <c r="BZ316" s="146" t="s">
        <v>1114</v>
      </c>
    </row>
    <row r="317" spans="2:78" ht="12.75" customHeight="1" outlineLevel="2">
      <c r="B317" s="102" t="s">
        <v>849</v>
      </c>
      <c r="C317" s="121" t="s">
        <v>1359</v>
      </c>
      <c r="D317" s="107" t="s">
        <v>198</v>
      </c>
      <c r="F317" s="107" t="s">
        <v>178</v>
      </c>
      <c r="G317" s="121"/>
      <c r="H317" s="162" t="s">
        <v>1417</v>
      </c>
      <c r="K317" s="124"/>
      <c r="L317" s="124" t="s">
        <v>1164</v>
      </c>
      <c r="M317" s="125" t="s">
        <v>183</v>
      </c>
      <c r="N317" s="124">
        <f t="shared" si="36"/>
        <v>3300</v>
      </c>
      <c r="O317" s="127"/>
      <c r="P317" s="127"/>
      <c r="Q317" s="127"/>
      <c r="R317" s="127"/>
      <c r="S317" s="127"/>
      <c r="T317" s="127">
        <v>100</v>
      </c>
      <c r="U317" s="127"/>
      <c r="V317" s="127">
        <v>500</v>
      </c>
      <c r="W317" s="127">
        <v>200</v>
      </c>
      <c r="X317" s="161"/>
      <c r="Y317" s="161">
        <v>100</v>
      </c>
      <c r="Z317" s="161">
        <v>500</v>
      </c>
      <c r="AA317" s="127"/>
      <c r="AB317" s="127"/>
      <c r="AC317" s="127"/>
      <c r="AD317" s="127">
        <v>200</v>
      </c>
      <c r="AE317" s="127">
        <v>500</v>
      </c>
      <c r="AF317" s="127"/>
      <c r="AG317" s="127"/>
      <c r="AH317" s="127"/>
      <c r="AI317" s="127">
        <v>500</v>
      </c>
      <c r="AJ317" s="127"/>
      <c r="AK317" s="127"/>
      <c r="AL317" s="127"/>
      <c r="AM317" s="127"/>
      <c r="AN317" s="127"/>
      <c r="AO317" s="127"/>
      <c r="AP317" s="127"/>
      <c r="AQ317" s="127"/>
      <c r="AR317" s="127"/>
      <c r="AS317" s="127"/>
      <c r="AT317" s="127"/>
      <c r="AU317" s="127"/>
      <c r="AV317" s="127"/>
      <c r="AW317" s="127"/>
      <c r="AX317" s="127"/>
      <c r="AY317" s="127"/>
      <c r="AZ317" s="127">
        <v>100</v>
      </c>
      <c r="BA317" s="127"/>
      <c r="BB317" s="127"/>
      <c r="BC317" s="127"/>
      <c r="BD317" s="127"/>
      <c r="BE317" s="127">
        <v>600</v>
      </c>
      <c r="BF317" s="127"/>
      <c r="BG317" s="127"/>
      <c r="BH317" s="127"/>
      <c r="BI317" s="127"/>
      <c r="BJ317" s="127"/>
      <c r="BK317" s="127"/>
      <c r="BL317" s="127"/>
      <c r="BM317" s="127"/>
      <c r="BN317" s="127"/>
      <c r="BO317" s="127"/>
      <c r="BP317" s="127"/>
      <c r="BQ317" s="127"/>
      <c r="BR317" s="127"/>
      <c r="BS317" s="127"/>
      <c r="BT317" s="127"/>
      <c r="BU317" s="127"/>
      <c r="BV317" s="127"/>
      <c r="BW317" s="127"/>
      <c r="BX317" s="127"/>
      <c r="BY317" s="127"/>
      <c r="BZ317" s="127"/>
    </row>
    <row r="318" spans="2:78" s="139" customFormat="1" outlineLevel="1">
      <c r="C318" s="140" t="s">
        <v>1418</v>
      </c>
      <c r="H318" s="141"/>
      <c r="I318" s="141"/>
      <c r="J318" s="141"/>
      <c r="K318" s="141"/>
      <c r="L318" s="141"/>
      <c r="M318" s="142"/>
      <c r="N318" s="143">
        <f t="shared" ref="N318:BO318" si="37">SUBTOTAL(9,N303:N317)</f>
        <v>139844</v>
      </c>
      <c r="O318" s="144">
        <f t="shared" si="37"/>
        <v>1200</v>
      </c>
      <c r="P318" s="144">
        <f t="shared" si="37"/>
        <v>2400</v>
      </c>
      <c r="Q318" s="144">
        <f t="shared" si="37"/>
        <v>2400</v>
      </c>
      <c r="R318" s="144">
        <f t="shared" si="37"/>
        <v>8400</v>
      </c>
      <c r="S318" s="144">
        <f t="shared" si="37"/>
        <v>1200</v>
      </c>
      <c r="T318" s="144">
        <f t="shared" si="37"/>
        <v>100</v>
      </c>
      <c r="U318" s="144">
        <f t="shared" si="37"/>
        <v>1200</v>
      </c>
      <c r="V318" s="144">
        <f t="shared" si="37"/>
        <v>4000</v>
      </c>
      <c r="W318" s="144">
        <f t="shared" si="37"/>
        <v>2600</v>
      </c>
      <c r="X318" s="144">
        <f t="shared" si="37"/>
        <v>2300</v>
      </c>
      <c r="Y318" s="144">
        <f t="shared" si="37"/>
        <v>100</v>
      </c>
      <c r="Z318" s="144">
        <f t="shared" si="37"/>
        <v>500</v>
      </c>
      <c r="AA318" s="144">
        <f t="shared" si="37"/>
        <v>1200</v>
      </c>
      <c r="AB318" s="144">
        <f t="shared" si="37"/>
        <v>1200</v>
      </c>
      <c r="AC318" s="144">
        <f t="shared" si="37"/>
        <v>1200</v>
      </c>
      <c r="AD318" s="144">
        <f t="shared" si="37"/>
        <v>1400</v>
      </c>
      <c r="AE318" s="144">
        <f t="shared" si="37"/>
        <v>2900</v>
      </c>
      <c r="AF318" s="144">
        <f t="shared" si="37"/>
        <v>1200</v>
      </c>
      <c r="AG318" s="144">
        <f t="shared" si="37"/>
        <v>4700</v>
      </c>
      <c r="AH318" s="144">
        <f t="shared" si="37"/>
        <v>4700</v>
      </c>
      <c r="AI318" s="144">
        <f t="shared" si="37"/>
        <v>5200</v>
      </c>
      <c r="AJ318" s="144">
        <f t="shared" si="37"/>
        <v>4700</v>
      </c>
      <c r="AK318" s="144">
        <f t="shared" si="37"/>
        <v>4700</v>
      </c>
      <c r="AL318" s="144">
        <f t="shared" si="37"/>
        <v>4700</v>
      </c>
      <c r="AM318" s="144">
        <f t="shared" si="37"/>
        <v>3400</v>
      </c>
      <c r="AN318" s="144">
        <f t="shared" si="37"/>
        <v>3400</v>
      </c>
      <c r="AO318" s="144">
        <f t="shared" si="37"/>
        <v>4944</v>
      </c>
      <c r="AP318" s="144">
        <f t="shared" si="37"/>
        <v>2300</v>
      </c>
      <c r="AQ318" s="144">
        <f t="shared" si="37"/>
        <v>2300</v>
      </c>
      <c r="AR318" s="144">
        <f t="shared" si="37"/>
        <v>2300</v>
      </c>
      <c r="AS318" s="144">
        <f t="shared" si="37"/>
        <v>2300</v>
      </c>
      <c r="AT318" s="144">
        <f t="shared" si="37"/>
        <v>2300</v>
      </c>
      <c r="AU318" s="144">
        <f t="shared" si="37"/>
        <v>2300</v>
      </c>
      <c r="AV318" s="144">
        <f t="shared" si="37"/>
        <v>2300</v>
      </c>
      <c r="AW318" s="144">
        <f t="shared" si="37"/>
        <v>2300</v>
      </c>
      <c r="AX318" s="144">
        <f t="shared" si="37"/>
        <v>2300</v>
      </c>
      <c r="AY318" s="144">
        <f t="shared" si="37"/>
        <v>2300</v>
      </c>
      <c r="AZ318" s="144">
        <f t="shared" si="37"/>
        <v>2400</v>
      </c>
      <c r="BA318" s="144">
        <f t="shared" si="37"/>
        <v>2300</v>
      </c>
      <c r="BB318" s="144">
        <f t="shared" si="37"/>
        <v>2400</v>
      </c>
      <c r="BC318" s="144">
        <f t="shared" si="37"/>
        <v>2300</v>
      </c>
      <c r="BD318" s="144">
        <f t="shared" si="37"/>
        <v>2300</v>
      </c>
      <c r="BE318" s="144">
        <f t="shared" si="37"/>
        <v>2900</v>
      </c>
      <c r="BF318" s="144">
        <f t="shared" si="37"/>
        <v>2300</v>
      </c>
      <c r="BG318" s="144">
        <f t="shared" si="37"/>
        <v>4000</v>
      </c>
      <c r="BH318" s="144">
        <f t="shared" si="37"/>
        <v>4000</v>
      </c>
      <c r="BI318" s="144">
        <f t="shared" si="37"/>
        <v>4000</v>
      </c>
      <c r="BJ318" s="144">
        <f t="shared" si="37"/>
        <v>4000</v>
      </c>
      <c r="BK318" s="144">
        <f t="shared" si="37"/>
        <v>4000</v>
      </c>
      <c r="BL318" s="144">
        <f t="shared" si="37"/>
        <v>4000</v>
      </c>
      <c r="BM318" s="144">
        <f t="shared" si="37"/>
        <v>0</v>
      </c>
      <c r="BN318" s="144">
        <f t="shared" si="37"/>
        <v>0</v>
      </c>
      <c r="BO318" s="144">
        <f t="shared" si="37"/>
        <v>0</v>
      </c>
      <c r="BP318" s="144"/>
      <c r="BQ318" s="144"/>
      <c r="BR318" s="144"/>
      <c r="BS318" s="144"/>
      <c r="BT318" s="144"/>
      <c r="BU318" s="144"/>
      <c r="BV318" s="144"/>
      <c r="BW318" s="144"/>
      <c r="BX318" s="144"/>
      <c r="BY318" s="144"/>
      <c r="BZ318" s="144">
        <f>SUBTOTAL(9,BZ303:BZ311)</f>
        <v>0</v>
      </c>
    </row>
    <row r="319" spans="2:78" s="121" customFormat="1" outlineLevel="2">
      <c r="B319" s="121" t="s">
        <v>849</v>
      </c>
      <c r="C319" s="121" t="s">
        <v>1419</v>
      </c>
      <c r="F319" s="107" t="s">
        <v>89</v>
      </c>
      <c r="G319" s="145" t="s">
        <v>199</v>
      </c>
      <c r="H319" s="122" t="s">
        <v>1107</v>
      </c>
      <c r="I319" s="123" t="s">
        <v>1420</v>
      </c>
      <c r="J319" s="124"/>
      <c r="K319" s="124" t="s">
        <v>1421</v>
      </c>
      <c r="L319" s="124" t="s">
        <v>881</v>
      </c>
      <c r="M319" s="125" t="s">
        <v>183</v>
      </c>
      <c r="N319" s="126">
        <f>SUM(O319:BO319)</f>
        <v>2000</v>
      </c>
      <c r="O319" s="127"/>
      <c r="P319" s="127"/>
      <c r="Q319" s="130">
        <v>300</v>
      </c>
      <c r="R319" s="130">
        <v>300</v>
      </c>
      <c r="S319" s="130">
        <v>300</v>
      </c>
      <c r="T319" s="130">
        <v>300</v>
      </c>
      <c r="U319" s="130">
        <v>300</v>
      </c>
      <c r="V319" s="130">
        <v>300</v>
      </c>
      <c r="W319" s="130">
        <v>200</v>
      </c>
      <c r="X319" s="127">
        <v>0</v>
      </c>
      <c r="Y319" s="127"/>
      <c r="Z319" s="127"/>
      <c r="AA319" s="127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127"/>
      <c r="AL319" s="127"/>
      <c r="AM319" s="127"/>
      <c r="AN319" s="127"/>
      <c r="AO319" s="127"/>
      <c r="AP319" s="127"/>
      <c r="AQ319" s="127"/>
      <c r="AR319" s="127"/>
      <c r="AS319" s="127"/>
      <c r="AT319" s="127"/>
      <c r="AU319" s="127"/>
      <c r="AV319" s="127"/>
      <c r="AW319" s="127"/>
      <c r="AX319" s="127"/>
      <c r="AY319" s="127"/>
      <c r="AZ319" s="127"/>
      <c r="BA319" s="127"/>
      <c r="BB319" s="127"/>
      <c r="BC319" s="127"/>
      <c r="BD319" s="127"/>
      <c r="BE319" s="127"/>
      <c r="BF319" s="127"/>
      <c r="BG319" s="127"/>
      <c r="BH319" s="127"/>
      <c r="BI319" s="127"/>
      <c r="BJ319" s="127"/>
      <c r="BK319" s="127">
        <v>0</v>
      </c>
      <c r="BL319" s="127"/>
      <c r="BM319" s="127"/>
      <c r="BN319" s="127"/>
      <c r="BO319" s="127"/>
      <c r="BP319" s="127" t="s">
        <v>1109</v>
      </c>
      <c r="BQ319" s="127" t="s">
        <v>915</v>
      </c>
      <c r="BR319" s="127" t="s">
        <v>1110</v>
      </c>
      <c r="BS319" s="127" t="s">
        <v>1111</v>
      </c>
      <c r="BT319" s="127" t="s">
        <v>188</v>
      </c>
      <c r="BU319" s="127" t="s">
        <v>189</v>
      </c>
      <c r="BV319" s="127" t="s">
        <v>190</v>
      </c>
      <c r="BW319" s="127" t="s">
        <v>191</v>
      </c>
      <c r="BX319" s="127" t="s">
        <v>1112</v>
      </c>
      <c r="BY319" s="127" t="s">
        <v>1113</v>
      </c>
      <c r="BZ319" s="128" t="s">
        <v>1114</v>
      </c>
    </row>
    <row r="320" spans="2:78" s="121" customFormat="1" outlineLevel="2">
      <c r="B320" s="121" t="s">
        <v>849</v>
      </c>
      <c r="C320" s="121" t="s">
        <v>1419</v>
      </c>
      <c r="F320" s="121" t="s">
        <v>89</v>
      </c>
      <c r="H320" s="122" t="s">
        <v>1389</v>
      </c>
      <c r="I320" s="124" t="s">
        <v>290</v>
      </c>
      <c r="J320" s="124"/>
      <c r="K320" s="124" t="s">
        <v>1422</v>
      </c>
      <c r="L320" s="124" t="s">
        <v>1335</v>
      </c>
      <c r="M320" s="125" t="s">
        <v>183</v>
      </c>
      <c r="N320" s="126">
        <f>SUM(O320:BO320)</f>
        <v>1400</v>
      </c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/>
      <c r="AF320" s="127"/>
      <c r="AG320" s="127"/>
      <c r="AH320" s="127"/>
      <c r="AI320" s="127"/>
      <c r="AJ320" s="127"/>
      <c r="AK320" s="127">
        <v>1400</v>
      </c>
      <c r="AL320" s="12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/>
      <c r="AW320" s="127"/>
      <c r="AX320" s="127"/>
      <c r="AY320" s="127"/>
      <c r="AZ320" s="127"/>
      <c r="BA320" s="127"/>
      <c r="BB320" s="127"/>
      <c r="BC320" s="127"/>
      <c r="BD320" s="127"/>
      <c r="BE320" s="127"/>
      <c r="BF320" s="127"/>
      <c r="BG320" s="127"/>
      <c r="BH320" s="127"/>
      <c r="BI320" s="127"/>
      <c r="BJ320" s="127"/>
      <c r="BK320" s="127"/>
      <c r="BL320" s="127"/>
      <c r="BM320" s="127"/>
      <c r="BN320" s="127"/>
      <c r="BO320" s="127"/>
      <c r="BP320" s="127"/>
      <c r="BQ320" s="127"/>
      <c r="BR320" s="127"/>
      <c r="BS320" s="127"/>
      <c r="BT320" s="127"/>
      <c r="BU320" s="127"/>
      <c r="BV320" s="127"/>
      <c r="BW320" s="127"/>
      <c r="BX320" s="127"/>
      <c r="BY320" s="127"/>
      <c r="BZ320" s="127"/>
    </row>
    <row r="321" spans="2:78" s="121" customFormat="1" outlineLevel="2">
      <c r="B321" s="121" t="s">
        <v>849</v>
      </c>
      <c r="C321" s="121" t="s">
        <v>1419</v>
      </c>
      <c r="D321" s="107"/>
      <c r="F321" s="107" t="s">
        <v>89</v>
      </c>
      <c r="H321" s="122" t="s">
        <v>1364</v>
      </c>
      <c r="I321" s="124" t="s">
        <v>296</v>
      </c>
      <c r="J321" s="124"/>
      <c r="K321" s="124" t="s">
        <v>1365</v>
      </c>
      <c r="L321" s="124" t="s">
        <v>1175</v>
      </c>
      <c r="M321" s="125" t="s">
        <v>183</v>
      </c>
      <c r="N321" s="126">
        <f>SUM(O321:BO321)</f>
        <v>4500</v>
      </c>
      <c r="O321" s="127">
        <v>2500</v>
      </c>
      <c r="P321" s="127">
        <v>2000</v>
      </c>
      <c r="Q321" s="127"/>
      <c r="R321" s="127"/>
      <c r="S321" s="127"/>
      <c r="T321" s="127"/>
      <c r="U321" s="127"/>
      <c r="V321" s="127"/>
      <c r="W321" s="127"/>
      <c r="X321" s="127">
        <v>0</v>
      </c>
      <c r="Y321" s="127"/>
      <c r="Z321" s="127"/>
      <c r="AA321" s="127"/>
      <c r="AB321" s="127">
        <v>0</v>
      </c>
      <c r="AC321" s="127"/>
      <c r="AD321" s="127"/>
      <c r="AE321" s="127"/>
      <c r="AF321" s="127"/>
      <c r="AG321" s="127">
        <v>0</v>
      </c>
      <c r="AH321" s="127"/>
      <c r="AI321" s="127"/>
      <c r="AJ321" s="127"/>
      <c r="AK321" s="127">
        <v>0</v>
      </c>
      <c r="AL321" s="127"/>
      <c r="AM321" s="127"/>
      <c r="AN321" s="127"/>
      <c r="AO321" s="127">
        <v>0</v>
      </c>
      <c r="AP321" s="127"/>
      <c r="AQ321" s="127"/>
      <c r="AR321" s="127"/>
      <c r="AS321" s="127"/>
      <c r="AT321" s="127">
        <v>0</v>
      </c>
      <c r="AU321" s="127"/>
      <c r="AV321" s="127"/>
      <c r="AW321" s="127"/>
      <c r="AX321" s="127">
        <v>0</v>
      </c>
      <c r="AY321" s="127"/>
      <c r="AZ321" s="127"/>
      <c r="BA321" s="127"/>
      <c r="BB321" s="127">
        <v>0</v>
      </c>
      <c r="BC321" s="127"/>
      <c r="BD321" s="127"/>
      <c r="BE321" s="127"/>
      <c r="BF321" s="127"/>
      <c r="BG321" s="127">
        <v>0</v>
      </c>
      <c r="BH321" s="127"/>
      <c r="BI321" s="127"/>
      <c r="BJ321" s="127"/>
      <c r="BK321" s="127">
        <v>0</v>
      </c>
      <c r="BL321" s="127"/>
      <c r="BM321" s="127"/>
      <c r="BN321" s="127"/>
      <c r="BO321" s="127"/>
      <c r="BP321" s="127" t="s">
        <v>1366</v>
      </c>
      <c r="BQ321" s="127" t="s">
        <v>915</v>
      </c>
      <c r="BR321" s="127" t="s">
        <v>1367</v>
      </c>
      <c r="BS321" s="127" t="s">
        <v>1368</v>
      </c>
      <c r="BT321" s="127" t="s">
        <v>188</v>
      </c>
      <c r="BU321" s="127" t="s">
        <v>189</v>
      </c>
      <c r="BV321" s="127" t="s">
        <v>229</v>
      </c>
      <c r="BW321" s="127" t="s">
        <v>191</v>
      </c>
      <c r="BX321" s="127" t="s">
        <v>1369</v>
      </c>
      <c r="BY321" s="127" t="s">
        <v>206</v>
      </c>
      <c r="BZ321" s="127" t="s">
        <v>1189</v>
      </c>
    </row>
    <row r="322" spans="2:78" s="121" customFormat="1" outlineLevel="2">
      <c r="B322" s="121" t="s">
        <v>849</v>
      </c>
      <c r="C322" s="121" t="s">
        <v>1419</v>
      </c>
      <c r="F322" s="107" t="s">
        <v>89</v>
      </c>
      <c r="G322" s="107" t="s">
        <v>199</v>
      </c>
      <c r="H322" s="122" t="s">
        <v>1382</v>
      </c>
      <c r="I322" s="124" t="s">
        <v>290</v>
      </c>
      <c r="J322" s="124"/>
      <c r="K322" s="124" t="s">
        <v>1383</v>
      </c>
      <c r="L322" s="124" t="s">
        <v>1335</v>
      </c>
      <c r="M322" s="125" t="s">
        <v>183</v>
      </c>
      <c r="N322" s="126">
        <f>SUM(O322:BO322)</f>
        <v>4000</v>
      </c>
      <c r="O322" s="127"/>
      <c r="P322" s="127"/>
      <c r="Q322" s="127"/>
      <c r="R322" s="127"/>
      <c r="S322" s="127"/>
      <c r="T322" s="127">
        <v>0</v>
      </c>
      <c r="U322" s="130">
        <v>4000</v>
      </c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7"/>
      <c r="AK322" s="127"/>
      <c r="AL322" s="127"/>
      <c r="AM322" s="127"/>
      <c r="AN322" s="127"/>
      <c r="AO322" s="127">
        <v>0</v>
      </c>
      <c r="AP322" s="127"/>
      <c r="AQ322" s="127"/>
      <c r="AR322" s="127"/>
      <c r="AS322" s="127"/>
      <c r="AT322" s="127">
        <v>0</v>
      </c>
      <c r="AU322" s="127"/>
      <c r="AV322" s="127"/>
      <c r="AW322" s="127"/>
      <c r="AX322" s="127">
        <v>0</v>
      </c>
      <c r="AY322" s="127"/>
      <c r="AZ322" s="127"/>
      <c r="BA322" s="127"/>
      <c r="BB322" s="127">
        <v>0</v>
      </c>
      <c r="BC322" s="127"/>
      <c r="BD322" s="127"/>
      <c r="BE322" s="127"/>
      <c r="BF322" s="127"/>
      <c r="BG322" s="127">
        <v>0</v>
      </c>
      <c r="BH322" s="127"/>
      <c r="BI322" s="127"/>
      <c r="BJ322" s="127"/>
      <c r="BK322" s="127">
        <v>0</v>
      </c>
      <c r="BL322" s="127"/>
      <c r="BM322" s="127"/>
      <c r="BN322" s="127"/>
      <c r="BO322" s="127"/>
      <c r="BP322" s="127" t="s">
        <v>1384</v>
      </c>
      <c r="BQ322" s="127" t="s">
        <v>1385</v>
      </c>
      <c r="BR322" s="127" t="s">
        <v>1386</v>
      </c>
      <c r="BS322" s="127" t="s">
        <v>1387</v>
      </c>
      <c r="BT322" s="127" t="s">
        <v>188</v>
      </c>
      <c r="BU322" s="127" t="s">
        <v>997</v>
      </c>
      <c r="BV322" s="127" t="s">
        <v>229</v>
      </c>
      <c r="BW322" s="127" t="s">
        <v>191</v>
      </c>
      <c r="BX322" s="127" t="s">
        <v>1388</v>
      </c>
      <c r="BY322" s="127" t="s">
        <v>422</v>
      </c>
      <c r="BZ322" s="127" t="s">
        <v>1340</v>
      </c>
    </row>
    <row r="323" spans="2:78" s="121" customFormat="1" outlineLevel="2">
      <c r="B323" s="121" t="s">
        <v>849</v>
      </c>
      <c r="C323" s="121" t="s">
        <v>1419</v>
      </c>
      <c r="D323" s="107"/>
      <c r="F323" s="107" t="s">
        <v>89</v>
      </c>
      <c r="G323" s="107" t="s">
        <v>199</v>
      </c>
      <c r="H323" s="122" t="s">
        <v>1423</v>
      </c>
      <c r="I323" s="124" t="s">
        <v>290</v>
      </c>
      <c r="J323" s="124"/>
      <c r="K323" s="124" t="s">
        <v>1334</v>
      </c>
      <c r="L323" s="124" t="s">
        <v>1335</v>
      </c>
      <c r="M323" s="125" t="s">
        <v>183</v>
      </c>
      <c r="N323" s="126">
        <f>SUM(O323:BO323)</f>
        <v>4200</v>
      </c>
      <c r="O323" s="127"/>
      <c r="P323" s="127"/>
      <c r="Q323" s="127"/>
      <c r="R323" s="127"/>
      <c r="S323" s="127"/>
      <c r="T323" s="127"/>
      <c r="U323" s="130">
        <v>4200</v>
      </c>
      <c r="V323" s="127">
        <v>0</v>
      </c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  <c r="BE323" s="127"/>
      <c r="BF323" s="127"/>
      <c r="BG323" s="127"/>
      <c r="BH323" s="127"/>
      <c r="BI323" s="127"/>
      <c r="BJ323" s="127"/>
      <c r="BK323" s="127"/>
      <c r="BL323" s="127"/>
      <c r="BM323" s="127"/>
      <c r="BN323" s="127"/>
      <c r="BO323" s="127"/>
      <c r="BP323" s="127"/>
      <c r="BQ323" s="127"/>
      <c r="BR323" s="127"/>
      <c r="BS323" s="127"/>
      <c r="BT323" s="127"/>
      <c r="BU323" s="127"/>
      <c r="BV323" s="127"/>
      <c r="BW323" s="127"/>
      <c r="BX323" s="127"/>
      <c r="BY323" s="127"/>
      <c r="BZ323" s="127"/>
    </row>
    <row r="324" spans="2:78" s="121" customFormat="1" outlineLevel="2">
      <c r="B324" s="121" t="s">
        <v>849</v>
      </c>
      <c r="C324" s="121" t="s">
        <v>1419</v>
      </c>
      <c r="D324" s="107"/>
      <c r="F324" s="107" t="s">
        <v>89</v>
      </c>
      <c r="H324" s="162" t="s">
        <v>1424</v>
      </c>
      <c r="I324" s="124"/>
      <c r="J324" s="124"/>
      <c r="K324" s="124"/>
      <c r="L324" s="124"/>
      <c r="M324" s="125" t="s">
        <v>183</v>
      </c>
      <c r="N324" s="126">
        <v>9000</v>
      </c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/>
      <c r="BO324" s="127"/>
      <c r="BP324" s="127"/>
      <c r="BQ324" s="127"/>
      <c r="BR324" s="127"/>
      <c r="BS324" s="127"/>
      <c r="BT324" s="127"/>
      <c r="BU324" s="127"/>
      <c r="BV324" s="127"/>
      <c r="BW324" s="127"/>
      <c r="BX324" s="127"/>
      <c r="BY324" s="127"/>
      <c r="BZ324" s="127"/>
    </row>
    <row r="325" spans="2:78" s="139" customFormat="1" outlineLevel="1">
      <c r="C325" s="140" t="s">
        <v>1425</v>
      </c>
      <c r="H325" s="141"/>
      <c r="I325" s="141"/>
      <c r="J325" s="141"/>
      <c r="K325" s="141"/>
      <c r="L325" s="141"/>
      <c r="M325" s="142"/>
      <c r="N325" s="143">
        <f t="shared" ref="N325:BO325" si="38">SUBTOTAL(9,N319:N321)</f>
        <v>7900</v>
      </c>
      <c r="O325" s="144">
        <f t="shared" si="38"/>
        <v>2500</v>
      </c>
      <c r="P325" s="144">
        <f t="shared" si="38"/>
        <v>2000</v>
      </c>
      <c r="Q325" s="144">
        <f t="shared" si="38"/>
        <v>300</v>
      </c>
      <c r="R325" s="144">
        <f t="shared" si="38"/>
        <v>300</v>
      </c>
      <c r="S325" s="144">
        <f t="shared" si="38"/>
        <v>300</v>
      </c>
      <c r="T325" s="144">
        <f t="shared" si="38"/>
        <v>300</v>
      </c>
      <c r="U325" s="144">
        <f t="shared" si="38"/>
        <v>300</v>
      </c>
      <c r="V325" s="144">
        <f t="shared" si="38"/>
        <v>300</v>
      </c>
      <c r="W325" s="144">
        <f t="shared" si="38"/>
        <v>200</v>
      </c>
      <c r="X325" s="144">
        <f t="shared" si="38"/>
        <v>0</v>
      </c>
      <c r="Y325" s="144">
        <f t="shared" si="38"/>
        <v>0</v>
      </c>
      <c r="Z325" s="144">
        <f t="shared" si="38"/>
        <v>0</v>
      </c>
      <c r="AA325" s="144">
        <f t="shared" si="38"/>
        <v>0</v>
      </c>
      <c r="AB325" s="144">
        <f t="shared" si="38"/>
        <v>0</v>
      </c>
      <c r="AC325" s="144">
        <f t="shared" si="38"/>
        <v>0</v>
      </c>
      <c r="AD325" s="144">
        <f t="shared" si="38"/>
        <v>0</v>
      </c>
      <c r="AE325" s="144">
        <f t="shared" si="38"/>
        <v>0</v>
      </c>
      <c r="AF325" s="144">
        <f t="shared" si="38"/>
        <v>0</v>
      </c>
      <c r="AG325" s="144">
        <f t="shared" si="38"/>
        <v>0</v>
      </c>
      <c r="AH325" s="144">
        <f t="shared" si="38"/>
        <v>0</v>
      </c>
      <c r="AI325" s="144">
        <f t="shared" si="38"/>
        <v>0</v>
      </c>
      <c r="AJ325" s="144">
        <f t="shared" si="38"/>
        <v>0</v>
      </c>
      <c r="AK325" s="144">
        <f t="shared" si="38"/>
        <v>1400</v>
      </c>
      <c r="AL325" s="144">
        <f t="shared" si="38"/>
        <v>0</v>
      </c>
      <c r="AM325" s="144">
        <f t="shared" si="38"/>
        <v>0</v>
      </c>
      <c r="AN325" s="144">
        <f t="shared" si="38"/>
        <v>0</v>
      </c>
      <c r="AO325" s="144">
        <f t="shared" si="38"/>
        <v>0</v>
      </c>
      <c r="AP325" s="144">
        <f t="shared" si="38"/>
        <v>0</v>
      </c>
      <c r="AQ325" s="144">
        <f t="shared" si="38"/>
        <v>0</v>
      </c>
      <c r="AR325" s="144">
        <f t="shared" si="38"/>
        <v>0</v>
      </c>
      <c r="AS325" s="144">
        <f t="shared" si="38"/>
        <v>0</v>
      </c>
      <c r="AT325" s="144">
        <f t="shared" si="38"/>
        <v>0</v>
      </c>
      <c r="AU325" s="144">
        <f t="shared" si="38"/>
        <v>0</v>
      </c>
      <c r="AV325" s="144">
        <f t="shared" si="38"/>
        <v>0</v>
      </c>
      <c r="AW325" s="144">
        <f t="shared" si="38"/>
        <v>0</v>
      </c>
      <c r="AX325" s="144">
        <f t="shared" si="38"/>
        <v>0</v>
      </c>
      <c r="AY325" s="144">
        <f t="shared" si="38"/>
        <v>0</v>
      </c>
      <c r="AZ325" s="144">
        <f t="shared" si="38"/>
        <v>0</v>
      </c>
      <c r="BA325" s="144">
        <f t="shared" si="38"/>
        <v>0</v>
      </c>
      <c r="BB325" s="144">
        <f t="shared" si="38"/>
        <v>0</v>
      </c>
      <c r="BC325" s="144">
        <f t="shared" si="38"/>
        <v>0</v>
      </c>
      <c r="BD325" s="144">
        <f t="shared" si="38"/>
        <v>0</v>
      </c>
      <c r="BE325" s="144">
        <f t="shared" si="38"/>
        <v>0</v>
      </c>
      <c r="BF325" s="144">
        <f t="shared" si="38"/>
        <v>0</v>
      </c>
      <c r="BG325" s="144">
        <f t="shared" si="38"/>
        <v>0</v>
      </c>
      <c r="BH325" s="144">
        <f t="shared" si="38"/>
        <v>0</v>
      </c>
      <c r="BI325" s="144">
        <f t="shared" si="38"/>
        <v>0</v>
      </c>
      <c r="BJ325" s="144">
        <f t="shared" si="38"/>
        <v>0</v>
      </c>
      <c r="BK325" s="144">
        <f t="shared" si="38"/>
        <v>0</v>
      </c>
      <c r="BL325" s="144">
        <f t="shared" si="38"/>
        <v>0</v>
      </c>
      <c r="BM325" s="144">
        <f t="shared" si="38"/>
        <v>0</v>
      </c>
      <c r="BN325" s="144">
        <f t="shared" si="38"/>
        <v>0</v>
      </c>
      <c r="BO325" s="144">
        <f t="shared" si="38"/>
        <v>0</v>
      </c>
      <c r="BP325" s="144"/>
      <c r="BQ325" s="144"/>
      <c r="BR325" s="144"/>
      <c r="BS325" s="144"/>
      <c r="BT325" s="144"/>
      <c r="BU325" s="144"/>
      <c r="BV325" s="144"/>
      <c r="BW325" s="144"/>
      <c r="BX325" s="144"/>
      <c r="BY325" s="144"/>
      <c r="BZ325" s="144">
        <f>SUBTOTAL(9,BZ319:BZ319)</f>
        <v>0</v>
      </c>
    </row>
    <row r="326" spans="2:78" s="121" customFormat="1" outlineLevel="2">
      <c r="B326" s="121" t="s">
        <v>1426</v>
      </c>
      <c r="C326" s="121" t="s">
        <v>1427</v>
      </c>
      <c r="D326" s="107" t="s">
        <v>198</v>
      </c>
      <c r="F326" s="149" t="s">
        <v>178</v>
      </c>
      <c r="H326" s="124" t="s">
        <v>1428</v>
      </c>
      <c r="I326" s="124" t="s">
        <v>695</v>
      </c>
      <c r="J326" s="124"/>
      <c r="K326" s="124" t="s">
        <v>1429</v>
      </c>
      <c r="L326" s="124" t="s">
        <v>697</v>
      </c>
      <c r="M326" s="125" t="s">
        <v>183</v>
      </c>
      <c r="N326" s="126">
        <f t="shared" ref="N326:N336" si="39">SUM(O326:BO326)</f>
        <v>300</v>
      </c>
      <c r="O326" s="127">
        <v>0</v>
      </c>
      <c r="P326" s="127"/>
      <c r="Q326" s="127"/>
      <c r="R326" s="127"/>
      <c r="S326" s="127"/>
      <c r="T326" s="127">
        <v>0</v>
      </c>
      <c r="U326" s="127"/>
      <c r="V326" s="127"/>
      <c r="W326" s="127"/>
      <c r="X326" s="127">
        <v>0</v>
      </c>
      <c r="Y326" s="127"/>
      <c r="Z326" s="127"/>
      <c r="AA326" s="127"/>
      <c r="AB326" s="127">
        <v>0</v>
      </c>
      <c r="AC326" s="127"/>
      <c r="AD326" s="127"/>
      <c r="AE326" s="127"/>
      <c r="AF326" s="127"/>
      <c r="AG326" s="127">
        <v>0</v>
      </c>
      <c r="AH326" s="127"/>
      <c r="AI326" s="127"/>
      <c r="AJ326" s="127"/>
      <c r="AK326" s="127">
        <v>0</v>
      </c>
      <c r="AL326" s="127"/>
      <c r="AM326" s="127"/>
      <c r="AN326" s="127"/>
      <c r="AO326" s="127">
        <v>0</v>
      </c>
      <c r="AP326" s="127"/>
      <c r="AQ326" s="127"/>
      <c r="AR326" s="127"/>
      <c r="AS326" s="127"/>
      <c r="AT326" s="127">
        <v>0</v>
      </c>
      <c r="AU326" s="127"/>
      <c r="AV326" s="127"/>
      <c r="AW326" s="127"/>
      <c r="AX326" s="127">
        <v>0</v>
      </c>
      <c r="AY326" s="127"/>
      <c r="AZ326" s="127"/>
      <c r="BA326" s="127"/>
      <c r="BB326" s="127">
        <v>300</v>
      </c>
      <c r="BC326" s="127"/>
      <c r="BD326" s="127"/>
      <c r="BE326" s="127"/>
      <c r="BF326" s="127"/>
      <c r="BG326" s="127">
        <v>0</v>
      </c>
      <c r="BH326" s="127"/>
      <c r="BI326" s="127"/>
      <c r="BJ326" s="127"/>
      <c r="BK326" s="127">
        <v>0</v>
      </c>
      <c r="BL326" s="127"/>
      <c r="BM326" s="127"/>
      <c r="BN326" s="127"/>
      <c r="BO326" s="127"/>
      <c r="BP326" s="127" t="s">
        <v>1430</v>
      </c>
      <c r="BQ326" s="127" t="s">
        <v>588</v>
      </c>
      <c r="BR326" s="127" t="s">
        <v>1431</v>
      </c>
      <c r="BS326" s="127" t="s">
        <v>1432</v>
      </c>
      <c r="BT326" s="127" t="s">
        <v>188</v>
      </c>
      <c r="BU326" s="127" t="s">
        <v>876</v>
      </c>
      <c r="BV326" s="127" t="s">
        <v>205</v>
      </c>
      <c r="BW326" s="127" t="s">
        <v>343</v>
      </c>
      <c r="BX326" s="127" t="s">
        <v>870</v>
      </c>
      <c r="BY326" s="127" t="s">
        <v>189</v>
      </c>
      <c r="BZ326" s="127" t="s">
        <v>703</v>
      </c>
    </row>
    <row r="327" spans="2:78" s="121" customFormat="1" outlineLevel="2">
      <c r="B327" s="121" t="s">
        <v>1426</v>
      </c>
      <c r="C327" s="121" t="s">
        <v>1427</v>
      </c>
      <c r="D327" s="107" t="s">
        <v>198</v>
      </c>
      <c r="F327" s="149" t="s">
        <v>178</v>
      </c>
      <c r="G327" s="107" t="s">
        <v>199</v>
      </c>
      <c r="H327" s="124" t="s">
        <v>1433</v>
      </c>
      <c r="I327" s="124" t="s">
        <v>695</v>
      </c>
      <c r="J327" s="124"/>
      <c r="K327" s="124" t="s">
        <v>1434</v>
      </c>
      <c r="L327" s="124" t="s">
        <v>697</v>
      </c>
      <c r="M327" s="125" t="s">
        <v>183</v>
      </c>
      <c r="N327" s="126">
        <f t="shared" si="39"/>
        <v>750</v>
      </c>
      <c r="O327" s="127">
        <v>0</v>
      </c>
      <c r="P327" s="127"/>
      <c r="Q327" s="127"/>
      <c r="R327" s="127"/>
      <c r="S327" s="127"/>
      <c r="T327" s="127">
        <v>0</v>
      </c>
      <c r="U327" s="127"/>
      <c r="V327" s="127"/>
      <c r="W327" s="127"/>
      <c r="X327" s="127"/>
      <c r="Y327" s="127"/>
      <c r="Z327" s="127"/>
      <c r="AA327" s="130">
        <v>750</v>
      </c>
      <c r="AB327" s="127">
        <v>0</v>
      </c>
      <c r="AC327" s="127"/>
      <c r="AD327" s="127"/>
      <c r="AE327" s="127"/>
      <c r="AF327" s="127"/>
      <c r="AG327" s="127">
        <v>0</v>
      </c>
      <c r="AH327" s="127"/>
      <c r="AI327" s="127"/>
      <c r="AJ327" s="127"/>
      <c r="AK327" s="127">
        <v>0</v>
      </c>
      <c r="AL327" s="127"/>
      <c r="AM327" s="127"/>
      <c r="AN327" s="127"/>
      <c r="AO327" s="127">
        <v>0</v>
      </c>
      <c r="AP327" s="127"/>
      <c r="AQ327" s="127"/>
      <c r="AR327" s="127"/>
      <c r="AS327" s="127"/>
      <c r="AT327" s="127">
        <v>0</v>
      </c>
      <c r="AU327" s="127"/>
      <c r="AV327" s="127"/>
      <c r="AW327" s="127"/>
      <c r="AX327" s="127">
        <v>0</v>
      </c>
      <c r="AY327" s="127"/>
      <c r="AZ327" s="127"/>
      <c r="BA327" s="127"/>
      <c r="BB327" s="127">
        <v>0</v>
      </c>
      <c r="BC327" s="127"/>
      <c r="BD327" s="127"/>
      <c r="BE327" s="127"/>
      <c r="BF327" s="127"/>
      <c r="BG327" s="127">
        <v>0</v>
      </c>
      <c r="BH327" s="127"/>
      <c r="BI327" s="127"/>
      <c r="BJ327" s="127"/>
      <c r="BK327" s="127">
        <v>0</v>
      </c>
      <c r="BL327" s="127"/>
      <c r="BM327" s="127"/>
      <c r="BN327" s="127"/>
      <c r="BO327" s="127"/>
      <c r="BP327" s="127" t="s">
        <v>1435</v>
      </c>
      <c r="BQ327" s="127" t="s">
        <v>1436</v>
      </c>
      <c r="BR327" s="127" t="s">
        <v>1437</v>
      </c>
      <c r="BS327" s="127" t="s">
        <v>1438</v>
      </c>
      <c r="BT327" s="127" t="s">
        <v>188</v>
      </c>
      <c r="BU327" s="127" t="s">
        <v>189</v>
      </c>
      <c r="BV327" s="127" t="s">
        <v>205</v>
      </c>
      <c r="BW327" s="127" t="s">
        <v>191</v>
      </c>
      <c r="BX327" s="127" t="s">
        <v>1439</v>
      </c>
      <c r="BY327" s="127" t="s">
        <v>189</v>
      </c>
      <c r="BZ327" s="127" t="s">
        <v>703</v>
      </c>
    </row>
    <row r="328" spans="2:78" s="121" customFormat="1" outlineLevel="2">
      <c r="B328" s="121" t="s">
        <v>1426</v>
      </c>
      <c r="C328" s="121" t="s">
        <v>1427</v>
      </c>
      <c r="D328" s="107" t="s">
        <v>1440</v>
      </c>
      <c r="F328" s="149" t="s">
        <v>178</v>
      </c>
      <c r="G328" s="107" t="s">
        <v>199</v>
      </c>
      <c r="H328" s="124" t="s">
        <v>1433</v>
      </c>
      <c r="I328" s="124" t="s">
        <v>695</v>
      </c>
      <c r="J328" s="124"/>
      <c r="K328" s="124" t="s">
        <v>1434</v>
      </c>
      <c r="L328" s="124" t="s">
        <v>697</v>
      </c>
      <c r="M328" s="125" t="s">
        <v>183</v>
      </c>
      <c r="N328" s="126">
        <f>SUM(O328:BO328)</f>
        <v>600</v>
      </c>
      <c r="O328" s="127">
        <v>0</v>
      </c>
      <c r="P328" s="127"/>
      <c r="Q328" s="127"/>
      <c r="R328" s="127"/>
      <c r="S328" s="127"/>
      <c r="T328" s="127">
        <v>0</v>
      </c>
      <c r="U328" s="127"/>
      <c r="V328" s="127"/>
      <c r="W328" s="127"/>
      <c r="X328" s="127"/>
      <c r="Y328" s="127"/>
      <c r="Z328" s="127"/>
      <c r="AA328" s="130">
        <v>600</v>
      </c>
      <c r="AB328" s="127">
        <v>0</v>
      </c>
      <c r="AC328" s="127"/>
      <c r="AD328" s="127"/>
      <c r="AE328" s="127"/>
      <c r="AF328" s="127"/>
      <c r="AG328" s="127">
        <v>0</v>
      </c>
      <c r="AH328" s="127"/>
      <c r="AI328" s="127"/>
      <c r="AJ328" s="127"/>
      <c r="AK328" s="127">
        <v>0</v>
      </c>
      <c r="AL328" s="127"/>
      <c r="AM328" s="127"/>
      <c r="AN328" s="127"/>
      <c r="AO328" s="127">
        <v>0</v>
      </c>
      <c r="AP328" s="127"/>
      <c r="AQ328" s="127"/>
      <c r="AR328" s="127"/>
      <c r="AS328" s="127"/>
      <c r="AT328" s="127">
        <v>0</v>
      </c>
      <c r="AU328" s="127"/>
      <c r="AV328" s="127"/>
      <c r="AW328" s="127"/>
      <c r="AX328" s="127">
        <v>0</v>
      </c>
      <c r="AY328" s="127"/>
      <c r="AZ328" s="127"/>
      <c r="BA328" s="127"/>
      <c r="BB328" s="127">
        <v>0</v>
      </c>
      <c r="BC328" s="127"/>
      <c r="BD328" s="127"/>
      <c r="BE328" s="127"/>
      <c r="BF328" s="127"/>
      <c r="BG328" s="127">
        <v>0</v>
      </c>
      <c r="BH328" s="127"/>
      <c r="BI328" s="127"/>
      <c r="BJ328" s="127"/>
      <c r="BK328" s="127">
        <v>0</v>
      </c>
      <c r="BL328" s="127"/>
      <c r="BM328" s="127"/>
      <c r="BN328" s="127"/>
      <c r="BO328" s="127"/>
      <c r="BP328" s="127" t="s">
        <v>1435</v>
      </c>
      <c r="BQ328" s="127" t="s">
        <v>1436</v>
      </c>
      <c r="BR328" s="127" t="s">
        <v>1437</v>
      </c>
      <c r="BS328" s="127" t="s">
        <v>1438</v>
      </c>
      <c r="BT328" s="127" t="s">
        <v>188</v>
      </c>
      <c r="BU328" s="127" t="s">
        <v>189</v>
      </c>
      <c r="BV328" s="127" t="s">
        <v>205</v>
      </c>
      <c r="BW328" s="127" t="s">
        <v>191</v>
      </c>
      <c r="BX328" s="127" t="s">
        <v>1439</v>
      </c>
      <c r="BY328" s="127" t="s">
        <v>189</v>
      </c>
      <c r="BZ328" s="127" t="s">
        <v>703</v>
      </c>
    </row>
    <row r="329" spans="2:78" s="121" customFormat="1" outlineLevel="2">
      <c r="B329" s="107" t="s">
        <v>1426</v>
      </c>
      <c r="C329" s="107" t="s">
        <v>1427</v>
      </c>
      <c r="D329" s="107" t="s">
        <v>198</v>
      </c>
      <c r="F329" s="149" t="s">
        <v>178</v>
      </c>
      <c r="H329" s="124" t="s">
        <v>1441</v>
      </c>
      <c r="I329" s="124" t="s">
        <v>695</v>
      </c>
      <c r="J329" s="124"/>
      <c r="K329" s="124" t="s">
        <v>1442</v>
      </c>
      <c r="L329" s="124" t="s">
        <v>697</v>
      </c>
      <c r="M329" s="125" t="s">
        <v>183</v>
      </c>
      <c r="N329" s="126">
        <f>SUM(O329:BO329)</f>
        <v>1240</v>
      </c>
      <c r="O329" s="127">
        <v>0</v>
      </c>
      <c r="P329" s="127"/>
      <c r="Q329" s="127"/>
      <c r="R329" s="127"/>
      <c r="S329" s="127"/>
      <c r="T329" s="127">
        <v>0</v>
      </c>
      <c r="U329" s="127"/>
      <c r="V329" s="127"/>
      <c r="W329" s="127"/>
      <c r="X329" s="127">
        <v>0</v>
      </c>
      <c r="Y329" s="127"/>
      <c r="Z329" s="127"/>
      <c r="AA329" s="127"/>
      <c r="AB329" s="127">
        <v>0</v>
      </c>
      <c r="AC329" s="127"/>
      <c r="AD329" s="127"/>
      <c r="AE329" s="127"/>
      <c r="AF329" s="127"/>
      <c r="AG329" s="127">
        <v>0</v>
      </c>
      <c r="AH329" s="127"/>
      <c r="AI329" s="127"/>
      <c r="AJ329" s="127"/>
      <c r="AK329" s="127">
        <v>0</v>
      </c>
      <c r="AL329" s="127"/>
      <c r="AM329" s="127"/>
      <c r="AN329" s="127"/>
      <c r="AO329" s="127">
        <v>0</v>
      </c>
      <c r="AP329" s="127"/>
      <c r="AQ329" s="127"/>
      <c r="AR329" s="127"/>
      <c r="AS329" s="127"/>
      <c r="AT329" s="127">
        <v>0</v>
      </c>
      <c r="AU329" s="127"/>
      <c r="AV329" s="127"/>
      <c r="AW329" s="127"/>
      <c r="AX329" s="127">
        <v>0</v>
      </c>
      <c r="AY329" s="127"/>
      <c r="AZ329" s="127"/>
      <c r="BA329" s="127"/>
      <c r="BB329" s="127">
        <v>1240</v>
      </c>
      <c r="BC329" s="127"/>
      <c r="BD329" s="127"/>
      <c r="BE329" s="127"/>
      <c r="BF329" s="127"/>
      <c r="BG329" s="127">
        <v>0</v>
      </c>
      <c r="BH329" s="127"/>
      <c r="BI329" s="127"/>
      <c r="BJ329" s="127"/>
      <c r="BK329" s="127">
        <v>0</v>
      </c>
      <c r="BL329" s="127"/>
      <c r="BM329" s="127"/>
      <c r="BN329" s="127"/>
      <c r="BO329" s="127"/>
      <c r="BP329" s="127" t="s">
        <v>1443</v>
      </c>
      <c r="BQ329" s="127" t="s">
        <v>605</v>
      </c>
      <c r="BR329" s="127" t="s">
        <v>1444</v>
      </c>
      <c r="BS329" s="127" t="s">
        <v>1445</v>
      </c>
      <c r="BT329" s="127" t="s">
        <v>188</v>
      </c>
      <c r="BU329" s="127" t="s">
        <v>189</v>
      </c>
      <c r="BV329" s="127" t="s">
        <v>205</v>
      </c>
      <c r="BW329" s="127" t="s">
        <v>343</v>
      </c>
      <c r="BX329" s="127" t="s">
        <v>870</v>
      </c>
      <c r="BY329" s="127" t="s">
        <v>189</v>
      </c>
      <c r="BZ329" s="127" t="s">
        <v>703</v>
      </c>
    </row>
    <row r="330" spans="2:78" s="121" customFormat="1" outlineLevel="2">
      <c r="B330" s="121" t="s">
        <v>1426</v>
      </c>
      <c r="C330" s="121" t="s">
        <v>1427</v>
      </c>
      <c r="D330" s="107" t="s">
        <v>198</v>
      </c>
      <c r="F330" s="149" t="s">
        <v>178</v>
      </c>
      <c r="H330" s="124" t="s">
        <v>1446</v>
      </c>
      <c r="I330" s="124" t="s">
        <v>695</v>
      </c>
      <c r="J330" s="124"/>
      <c r="K330" s="124" t="s">
        <v>723</v>
      </c>
      <c r="L330" s="124" t="s">
        <v>697</v>
      </c>
      <c r="M330" s="125" t="s">
        <v>183</v>
      </c>
      <c r="N330" s="126">
        <f t="shared" si="39"/>
        <v>470</v>
      </c>
      <c r="O330" s="127">
        <v>0</v>
      </c>
      <c r="P330" s="127"/>
      <c r="Q330" s="127"/>
      <c r="R330" s="127"/>
      <c r="S330" s="127"/>
      <c r="T330" s="127">
        <v>0</v>
      </c>
      <c r="U330" s="127"/>
      <c r="V330" s="127"/>
      <c r="W330" s="127"/>
      <c r="X330" s="127">
        <v>0</v>
      </c>
      <c r="Y330" s="127"/>
      <c r="Z330" s="127"/>
      <c r="AA330" s="127"/>
      <c r="AB330" s="127">
        <v>0</v>
      </c>
      <c r="AC330" s="127"/>
      <c r="AD330" s="127"/>
      <c r="AE330" s="127"/>
      <c r="AF330" s="127"/>
      <c r="AG330" s="127">
        <v>0</v>
      </c>
      <c r="AH330" s="127"/>
      <c r="AI330" s="127"/>
      <c r="AJ330" s="127"/>
      <c r="AK330" s="127">
        <v>0</v>
      </c>
      <c r="AL330" s="127"/>
      <c r="AM330" s="127"/>
      <c r="AN330" s="127"/>
      <c r="AO330" s="127">
        <v>0</v>
      </c>
      <c r="AP330" s="127"/>
      <c r="AQ330" s="127"/>
      <c r="AR330" s="127"/>
      <c r="AS330" s="127"/>
      <c r="AT330" s="127">
        <v>0</v>
      </c>
      <c r="AU330" s="127"/>
      <c r="AV330" s="127"/>
      <c r="AW330" s="127"/>
      <c r="AX330" s="127">
        <v>0</v>
      </c>
      <c r="AY330" s="127"/>
      <c r="AZ330" s="127"/>
      <c r="BA330" s="127"/>
      <c r="BB330" s="127">
        <v>0</v>
      </c>
      <c r="BC330" s="127"/>
      <c r="BD330" s="127"/>
      <c r="BE330" s="127"/>
      <c r="BF330" s="127"/>
      <c r="BG330" s="127">
        <v>470</v>
      </c>
      <c r="BH330" s="127"/>
      <c r="BI330" s="127"/>
      <c r="BJ330" s="127"/>
      <c r="BK330" s="127">
        <v>0</v>
      </c>
      <c r="BL330" s="127"/>
      <c r="BM330" s="127"/>
      <c r="BN330" s="127"/>
      <c r="BO330" s="127"/>
      <c r="BP330" s="127" t="s">
        <v>1447</v>
      </c>
      <c r="BQ330" s="127" t="s">
        <v>1448</v>
      </c>
      <c r="BR330" s="127" t="s">
        <v>1449</v>
      </c>
      <c r="BS330" s="127" t="s">
        <v>1450</v>
      </c>
      <c r="BT330" s="127" t="s">
        <v>188</v>
      </c>
      <c r="BU330" s="127" t="s">
        <v>189</v>
      </c>
      <c r="BV330" s="127" t="s">
        <v>205</v>
      </c>
      <c r="BW330" s="127" t="s">
        <v>343</v>
      </c>
      <c r="BX330" s="127" t="s">
        <v>878</v>
      </c>
      <c r="BY330" s="127" t="s">
        <v>189</v>
      </c>
      <c r="BZ330" s="127" t="s">
        <v>721</v>
      </c>
    </row>
    <row r="331" spans="2:78" s="121" customFormat="1" outlineLevel="2">
      <c r="B331" s="121" t="s">
        <v>1426</v>
      </c>
      <c r="C331" s="121" t="s">
        <v>1427</v>
      </c>
      <c r="D331" s="145" t="s">
        <v>198</v>
      </c>
      <c r="F331" s="149" t="s">
        <v>178</v>
      </c>
      <c r="H331" s="122" t="s">
        <v>1451</v>
      </c>
      <c r="I331" s="124"/>
      <c r="J331" s="124"/>
      <c r="K331" s="124" t="s">
        <v>729</v>
      </c>
      <c r="L331" s="124" t="s">
        <v>697</v>
      </c>
      <c r="M331" s="125" t="s">
        <v>183</v>
      </c>
      <c r="N331" s="126">
        <f t="shared" si="39"/>
        <v>800</v>
      </c>
      <c r="O331" s="127">
        <v>0</v>
      </c>
      <c r="P331" s="127"/>
      <c r="Q331" s="127"/>
      <c r="R331" s="127"/>
      <c r="S331" s="127"/>
      <c r="T331" s="127">
        <v>0</v>
      </c>
      <c r="U331" s="127"/>
      <c r="V331" s="127"/>
      <c r="W331" s="127"/>
      <c r="X331" s="127">
        <v>0</v>
      </c>
      <c r="Y331" s="127"/>
      <c r="Z331" s="127"/>
      <c r="AA331" s="127"/>
      <c r="AB331" s="127">
        <v>800</v>
      </c>
      <c r="AC331" s="127"/>
      <c r="AD331" s="127"/>
      <c r="AE331" s="127"/>
      <c r="AF331" s="127"/>
      <c r="AG331" s="127">
        <v>0</v>
      </c>
      <c r="AH331" s="127"/>
      <c r="AI331" s="127"/>
      <c r="AJ331" s="127"/>
      <c r="AK331" s="127">
        <v>0</v>
      </c>
      <c r="AL331" s="127"/>
      <c r="AM331" s="127"/>
      <c r="AN331" s="127"/>
      <c r="AO331" s="127">
        <v>0</v>
      </c>
      <c r="AP331" s="127"/>
      <c r="AQ331" s="127"/>
      <c r="AR331" s="127"/>
      <c r="AS331" s="127"/>
      <c r="AT331" s="127">
        <v>0</v>
      </c>
      <c r="AU331" s="127"/>
      <c r="AV331" s="127"/>
      <c r="AW331" s="127"/>
      <c r="AX331" s="127">
        <v>0</v>
      </c>
      <c r="AY331" s="127"/>
      <c r="AZ331" s="127"/>
      <c r="BA331" s="127"/>
      <c r="BB331" s="127">
        <v>0</v>
      </c>
      <c r="BC331" s="127"/>
      <c r="BD331" s="127"/>
      <c r="BE331" s="127"/>
      <c r="BF331" s="127"/>
      <c r="BG331" s="127">
        <v>0</v>
      </c>
      <c r="BH331" s="127"/>
      <c r="BI331" s="127"/>
      <c r="BJ331" s="127"/>
      <c r="BK331" s="127">
        <v>0</v>
      </c>
      <c r="BL331" s="127"/>
      <c r="BM331" s="127"/>
      <c r="BN331" s="127"/>
      <c r="BO331" s="127"/>
      <c r="BP331" s="127" t="s">
        <v>1452</v>
      </c>
      <c r="BQ331" s="127" t="s">
        <v>588</v>
      </c>
      <c r="BR331" s="127" t="s">
        <v>189</v>
      </c>
      <c r="BS331" s="127" t="s">
        <v>189</v>
      </c>
      <c r="BT331" s="127" t="s">
        <v>188</v>
      </c>
      <c r="BU331" s="127" t="s">
        <v>189</v>
      </c>
      <c r="BV331" s="127" t="s">
        <v>188</v>
      </c>
      <c r="BW331" s="127" t="s">
        <v>733</v>
      </c>
      <c r="BX331" s="127" t="s">
        <v>189</v>
      </c>
      <c r="BY331" s="127" t="s">
        <v>189</v>
      </c>
      <c r="BZ331" s="128" t="s">
        <v>1453</v>
      </c>
    </row>
    <row r="332" spans="2:78" s="121" customFormat="1" outlineLevel="2">
      <c r="B332" s="107" t="s">
        <v>1426</v>
      </c>
      <c r="C332" s="107" t="s">
        <v>1427</v>
      </c>
      <c r="D332" s="145" t="s">
        <v>198</v>
      </c>
      <c r="F332" s="107" t="s">
        <v>178</v>
      </c>
      <c r="H332" s="124" t="s">
        <v>1454</v>
      </c>
      <c r="I332" s="124"/>
      <c r="J332" s="124"/>
      <c r="K332" s="124" t="s">
        <v>723</v>
      </c>
      <c r="L332" s="124" t="s">
        <v>697</v>
      </c>
      <c r="M332" s="125" t="s">
        <v>183</v>
      </c>
      <c r="N332" s="126">
        <f>SUM(O332:BO332)</f>
        <v>1516</v>
      </c>
      <c r="O332" s="127"/>
      <c r="P332" s="127"/>
      <c r="Q332" s="127"/>
      <c r="R332" s="127"/>
      <c r="S332" s="127"/>
      <c r="T332" s="127">
        <v>0</v>
      </c>
      <c r="U332" s="127"/>
      <c r="V332" s="127"/>
      <c r="W332" s="127"/>
      <c r="X332" s="127">
        <v>0</v>
      </c>
      <c r="Y332" s="127"/>
      <c r="Z332" s="127"/>
      <c r="AA332" s="127"/>
      <c r="AB332" s="127">
        <v>0</v>
      </c>
      <c r="AC332" s="127"/>
      <c r="AD332" s="127"/>
      <c r="AE332" s="127"/>
      <c r="AF332" s="127"/>
      <c r="AG332" s="127">
        <v>0</v>
      </c>
      <c r="AH332" s="127"/>
      <c r="AI332" s="127"/>
      <c r="AJ332" s="127"/>
      <c r="AK332" s="127">
        <v>0</v>
      </c>
      <c r="AL332" s="127"/>
      <c r="AM332" s="127"/>
      <c r="AN332" s="127"/>
      <c r="AO332" s="127">
        <v>0</v>
      </c>
      <c r="AP332" s="127"/>
      <c r="AQ332" s="127"/>
      <c r="AR332" s="127"/>
      <c r="AS332" s="127"/>
      <c r="AT332" s="127">
        <v>1516</v>
      </c>
      <c r="AU332" s="127"/>
      <c r="AV332" s="127"/>
      <c r="AW332" s="127"/>
      <c r="AX332" s="127">
        <v>0</v>
      </c>
      <c r="AY332" s="127"/>
      <c r="AZ332" s="127"/>
      <c r="BA332" s="127"/>
      <c r="BB332" s="127">
        <v>0</v>
      </c>
      <c r="BC332" s="127"/>
      <c r="BD332" s="127"/>
      <c r="BE332" s="127"/>
      <c r="BF332" s="127"/>
      <c r="BG332" s="127">
        <v>0</v>
      </c>
      <c r="BH332" s="127"/>
      <c r="BI332" s="127"/>
      <c r="BJ332" s="127"/>
      <c r="BK332" s="127">
        <v>0</v>
      </c>
      <c r="BL332" s="127"/>
      <c r="BM332" s="127"/>
      <c r="BN332" s="127"/>
      <c r="BO332" s="127"/>
      <c r="BP332" s="127" t="s">
        <v>1447</v>
      </c>
      <c r="BQ332" s="127" t="s">
        <v>1448</v>
      </c>
      <c r="BR332" s="127" t="s">
        <v>1455</v>
      </c>
      <c r="BS332" s="127" t="s">
        <v>1456</v>
      </c>
      <c r="BT332" s="127" t="s">
        <v>188</v>
      </c>
      <c r="BU332" s="127" t="s">
        <v>189</v>
      </c>
      <c r="BV332" s="127" t="s">
        <v>205</v>
      </c>
      <c r="BW332" s="127" t="s">
        <v>343</v>
      </c>
      <c r="BX332" s="127" t="s">
        <v>189</v>
      </c>
      <c r="BY332" s="127" t="s">
        <v>189</v>
      </c>
      <c r="BZ332" s="127" t="s">
        <v>721</v>
      </c>
    </row>
    <row r="333" spans="2:78" s="121" customFormat="1" outlineLevel="2">
      <c r="B333" s="121" t="s">
        <v>1426</v>
      </c>
      <c r="C333" s="121" t="s">
        <v>1427</v>
      </c>
      <c r="D333" s="145" t="s">
        <v>198</v>
      </c>
      <c r="F333" s="149" t="s">
        <v>178</v>
      </c>
      <c r="H333" s="124" t="s">
        <v>1457</v>
      </c>
      <c r="I333" s="124" t="s">
        <v>695</v>
      </c>
      <c r="J333" s="124"/>
      <c r="K333" s="124" t="s">
        <v>1458</v>
      </c>
      <c r="L333" s="124" t="s">
        <v>697</v>
      </c>
      <c r="M333" s="125" t="s">
        <v>183</v>
      </c>
      <c r="N333" s="126">
        <f t="shared" si="39"/>
        <v>1082</v>
      </c>
      <c r="O333" s="127">
        <v>0</v>
      </c>
      <c r="P333" s="127"/>
      <c r="Q333" s="127"/>
      <c r="R333" s="127"/>
      <c r="S333" s="127"/>
      <c r="T333" s="127">
        <v>0</v>
      </c>
      <c r="U333" s="127"/>
      <c r="V333" s="127"/>
      <c r="W333" s="127"/>
      <c r="X333" s="127">
        <v>0</v>
      </c>
      <c r="Y333" s="127"/>
      <c r="Z333" s="127"/>
      <c r="AA333" s="127"/>
      <c r="AB333" s="127">
        <v>0</v>
      </c>
      <c r="AC333" s="127"/>
      <c r="AD333" s="127"/>
      <c r="AE333" s="127"/>
      <c r="AF333" s="127"/>
      <c r="AG333" s="127">
        <v>0</v>
      </c>
      <c r="AH333" s="127"/>
      <c r="AI333" s="127"/>
      <c r="AJ333" s="127"/>
      <c r="AK333" s="127">
        <v>0</v>
      </c>
      <c r="AL333" s="127"/>
      <c r="AM333" s="127"/>
      <c r="AN333" s="127"/>
      <c r="AO333" s="127">
        <v>0</v>
      </c>
      <c r="AP333" s="127"/>
      <c r="AQ333" s="127"/>
      <c r="AR333" s="127"/>
      <c r="AS333" s="127"/>
      <c r="AT333" s="127">
        <v>0</v>
      </c>
      <c r="AU333" s="127"/>
      <c r="AV333" s="127"/>
      <c r="AW333" s="127"/>
      <c r="AX333" s="127">
        <v>0</v>
      </c>
      <c r="AY333" s="127"/>
      <c r="AZ333" s="127"/>
      <c r="BA333" s="127"/>
      <c r="BB333" s="127">
        <v>1082</v>
      </c>
      <c r="BC333" s="127"/>
      <c r="BD333" s="127"/>
      <c r="BE333" s="127"/>
      <c r="BF333" s="127"/>
      <c r="BG333" s="127">
        <v>0</v>
      </c>
      <c r="BH333" s="127"/>
      <c r="BI333" s="127"/>
      <c r="BJ333" s="127"/>
      <c r="BK333" s="127">
        <v>0</v>
      </c>
      <c r="BL333" s="127"/>
      <c r="BM333" s="127"/>
      <c r="BN333" s="127"/>
      <c r="BO333" s="127"/>
      <c r="BP333" s="127" t="s">
        <v>1459</v>
      </c>
      <c r="BQ333" s="127" t="s">
        <v>759</v>
      </c>
      <c r="BR333" s="127" t="s">
        <v>1460</v>
      </c>
      <c r="BS333" s="127" t="s">
        <v>1461</v>
      </c>
      <c r="BT333" s="127" t="s">
        <v>188</v>
      </c>
      <c r="BU333" s="127" t="s">
        <v>189</v>
      </c>
      <c r="BV333" s="127" t="s">
        <v>205</v>
      </c>
      <c r="BW333" s="127" t="s">
        <v>343</v>
      </c>
      <c r="BX333" s="127" t="s">
        <v>1462</v>
      </c>
      <c r="BY333" s="127" t="s">
        <v>189</v>
      </c>
      <c r="BZ333" s="127" t="s">
        <v>189</v>
      </c>
    </row>
    <row r="334" spans="2:78" s="121" customFormat="1" outlineLevel="2">
      <c r="B334" s="121" t="s">
        <v>1426</v>
      </c>
      <c r="C334" s="121" t="s">
        <v>1427</v>
      </c>
      <c r="D334" s="145" t="s">
        <v>198</v>
      </c>
      <c r="F334" s="149" t="s">
        <v>178</v>
      </c>
      <c r="G334" s="107" t="s">
        <v>199</v>
      </c>
      <c r="H334" s="124" t="s">
        <v>1463</v>
      </c>
      <c r="I334" s="124"/>
      <c r="J334" s="124"/>
      <c r="K334" s="124" t="s">
        <v>1434</v>
      </c>
      <c r="L334" s="124" t="s">
        <v>697</v>
      </c>
      <c r="M334" s="125" t="s">
        <v>183</v>
      </c>
      <c r="N334" s="126">
        <f t="shared" si="39"/>
        <v>1400</v>
      </c>
      <c r="O334" s="130">
        <v>700</v>
      </c>
      <c r="P334" s="130">
        <v>700</v>
      </c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127"/>
      <c r="BJ334" s="127"/>
      <c r="BK334" s="127"/>
      <c r="BL334" s="127"/>
      <c r="BM334" s="127"/>
      <c r="BN334" s="127"/>
      <c r="BO334" s="127"/>
      <c r="BP334" s="127"/>
      <c r="BQ334" s="127"/>
      <c r="BR334" s="127"/>
      <c r="BS334" s="127"/>
      <c r="BT334" s="127"/>
      <c r="BU334" s="127"/>
      <c r="BV334" s="127"/>
      <c r="BW334" s="127"/>
      <c r="BX334" s="127"/>
      <c r="BY334" s="127"/>
      <c r="BZ334" s="127"/>
    </row>
    <row r="335" spans="2:78" s="121" customFormat="1" outlineLevel="2">
      <c r="B335" s="121" t="s">
        <v>1426</v>
      </c>
      <c r="C335" s="121" t="s">
        <v>1427</v>
      </c>
      <c r="D335" s="145" t="s">
        <v>1440</v>
      </c>
      <c r="F335" s="107" t="s">
        <v>178</v>
      </c>
      <c r="H335" s="122" t="s">
        <v>704</v>
      </c>
      <c r="I335" s="124" t="s">
        <v>695</v>
      </c>
      <c r="J335" s="124"/>
      <c r="K335" s="124" t="s">
        <v>705</v>
      </c>
      <c r="L335" s="124" t="s">
        <v>697</v>
      </c>
      <c r="M335" s="125" t="s">
        <v>183</v>
      </c>
      <c r="N335" s="126">
        <f t="shared" si="39"/>
        <v>600</v>
      </c>
      <c r="O335" s="127"/>
      <c r="P335" s="127"/>
      <c r="Q335" s="130">
        <v>600</v>
      </c>
      <c r="R335" s="127"/>
      <c r="S335" s="127"/>
      <c r="T335" s="127">
        <v>0</v>
      </c>
      <c r="U335" s="127"/>
      <c r="V335" s="127"/>
      <c r="W335" s="127"/>
      <c r="X335" s="127">
        <v>0</v>
      </c>
      <c r="Y335" s="127"/>
      <c r="Z335" s="127"/>
      <c r="AA335" s="127"/>
      <c r="AB335" s="127">
        <v>0</v>
      </c>
      <c r="AC335" s="127"/>
      <c r="AD335" s="127"/>
      <c r="AE335" s="127"/>
      <c r="AF335" s="127"/>
      <c r="AG335" s="127">
        <v>0</v>
      </c>
      <c r="AH335" s="127"/>
      <c r="AI335" s="127"/>
      <c r="AJ335" s="127"/>
      <c r="AK335" s="127">
        <v>0</v>
      </c>
      <c r="AL335" s="127"/>
      <c r="AM335" s="127"/>
      <c r="AN335" s="127"/>
      <c r="AO335" s="127">
        <v>0</v>
      </c>
      <c r="AP335" s="127"/>
      <c r="AQ335" s="127"/>
      <c r="AR335" s="127"/>
      <c r="AS335" s="127"/>
      <c r="AT335" s="127">
        <v>0</v>
      </c>
      <c r="AU335" s="127"/>
      <c r="AV335" s="127"/>
      <c r="AW335" s="127"/>
      <c r="AX335" s="127">
        <v>0</v>
      </c>
      <c r="AY335" s="127"/>
      <c r="AZ335" s="127"/>
      <c r="BA335" s="127"/>
      <c r="BB335" s="127">
        <v>0</v>
      </c>
      <c r="BC335" s="127"/>
      <c r="BD335" s="127"/>
      <c r="BE335" s="127"/>
      <c r="BF335" s="127"/>
      <c r="BG335" s="127">
        <v>0</v>
      </c>
      <c r="BH335" s="127"/>
      <c r="BI335" s="127"/>
      <c r="BJ335" s="127"/>
      <c r="BK335" s="127">
        <v>0</v>
      </c>
      <c r="BL335" s="127"/>
      <c r="BM335" s="127"/>
      <c r="BN335" s="127"/>
      <c r="BO335" s="127"/>
      <c r="BP335" s="127" t="s">
        <v>706</v>
      </c>
      <c r="BQ335" s="127" t="s">
        <v>588</v>
      </c>
      <c r="BR335" s="127" t="s">
        <v>707</v>
      </c>
      <c r="BS335" s="127" t="s">
        <v>708</v>
      </c>
      <c r="BT335" s="127" t="s">
        <v>188</v>
      </c>
      <c r="BU335" s="127" t="s">
        <v>189</v>
      </c>
      <c r="BV335" s="127" t="s">
        <v>229</v>
      </c>
      <c r="BW335" s="127" t="s">
        <v>343</v>
      </c>
      <c r="BX335" s="127" t="s">
        <v>189</v>
      </c>
      <c r="BY335" s="127" t="s">
        <v>189</v>
      </c>
      <c r="BZ335" s="127" t="s">
        <v>703</v>
      </c>
    </row>
    <row r="336" spans="2:78" ht="12.75" customHeight="1" outlineLevel="2">
      <c r="B336" s="102" t="s">
        <v>1426</v>
      </c>
      <c r="C336" s="102" t="s">
        <v>1427</v>
      </c>
      <c r="D336" s="129" t="s">
        <v>198</v>
      </c>
      <c r="E336" s="163"/>
      <c r="F336" s="149" t="s">
        <v>178</v>
      </c>
      <c r="G336" s="124"/>
      <c r="H336" s="164" t="s">
        <v>1464</v>
      </c>
      <c r="I336" s="163"/>
      <c r="J336" s="147"/>
      <c r="K336" s="147"/>
      <c r="L336" s="147" t="s">
        <v>697</v>
      </c>
      <c r="M336" s="125" t="s">
        <v>183</v>
      </c>
      <c r="N336" s="124">
        <f t="shared" si="39"/>
        <v>11000</v>
      </c>
      <c r="O336" s="127">
        <v>1400</v>
      </c>
      <c r="P336" s="127"/>
      <c r="Q336" s="127"/>
      <c r="R336" s="127"/>
      <c r="S336" s="127"/>
      <c r="T336" s="127">
        <v>1400</v>
      </c>
      <c r="U336" s="127"/>
      <c r="V336" s="127"/>
      <c r="W336" s="127"/>
      <c r="X336" s="127">
        <v>1400</v>
      </c>
      <c r="Y336" s="127"/>
      <c r="Z336" s="127"/>
      <c r="AA336" s="127"/>
      <c r="AB336" s="127">
        <v>1400</v>
      </c>
      <c r="AC336" s="127"/>
      <c r="AD336" s="127"/>
      <c r="AE336" s="127"/>
      <c r="AF336" s="127"/>
      <c r="AG336" s="127">
        <v>1400</v>
      </c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>
        <v>1500</v>
      </c>
      <c r="AY336" s="127"/>
      <c r="AZ336" s="127"/>
      <c r="BA336" s="127"/>
      <c r="BB336" s="127">
        <v>1500</v>
      </c>
      <c r="BC336" s="127"/>
      <c r="BD336" s="127"/>
      <c r="BE336" s="127"/>
      <c r="BF336" s="127"/>
      <c r="BG336" s="127">
        <v>1000</v>
      </c>
      <c r="BH336" s="127"/>
      <c r="BI336" s="127"/>
      <c r="BJ336" s="127"/>
      <c r="BK336" s="127"/>
      <c r="BL336" s="127"/>
      <c r="BM336" s="127"/>
      <c r="BN336" s="127"/>
      <c r="BO336" s="127"/>
      <c r="BP336" s="127" t="s">
        <v>1465</v>
      </c>
      <c r="BQ336" s="165"/>
      <c r="BR336" s="165"/>
      <c r="BS336" s="165"/>
      <c r="BT336" s="165"/>
      <c r="BU336" s="165"/>
      <c r="BV336" s="165"/>
      <c r="BW336" s="165"/>
      <c r="BX336" s="165"/>
      <c r="BY336" s="165"/>
      <c r="BZ336" s="165"/>
    </row>
    <row r="337" spans="2:78" s="139" customFormat="1" outlineLevel="1">
      <c r="C337" s="140" t="s">
        <v>1466</v>
      </c>
      <c r="H337" s="141"/>
      <c r="I337" s="141"/>
      <c r="J337" s="141"/>
      <c r="K337" s="141"/>
      <c r="L337" s="141"/>
      <c r="M337" s="142"/>
      <c r="N337" s="143">
        <f t="shared" ref="N337:BO337" si="40">SUBTOTAL(9,N326:N336)</f>
        <v>19758</v>
      </c>
      <c r="O337" s="144">
        <f t="shared" si="40"/>
        <v>2100</v>
      </c>
      <c r="P337" s="144">
        <f t="shared" si="40"/>
        <v>700</v>
      </c>
      <c r="Q337" s="144">
        <f t="shared" si="40"/>
        <v>600</v>
      </c>
      <c r="R337" s="144">
        <f t="shared" si="40"/>
        <v>0</v>
      </c>
      <c r="S337" s="144">
        <f t="shared" si="40"/>
        <v>0</v>
      </c>
      <c r="T337" s="144">
        <f t="shared" si="40"/>
        <v>1400</v>
      </c>
      <c r="U337" s="144">
        <f t="shared" si="40"/>
        <v>0</v>
      </c>
      <c r="V337" s="144">
        <f t="shared" si="40"/>
        <v>0</v>
      </c>
      <c r="W337" s="144">
        <f t="shared" si="40"/>
        <v>0</v>
      </c>
      <c r="X337" s="144">
        <f t="shared" si="40"/>
        <v>1400</v>
      </c>
      <c r="Y337" s="144">
        <f t="shared" si="40"/>
        <v>0</v>
      </c>
      <c r="Z337" s="144">
        <f t="shared" si="40"/>
        <v>0</v>
      </c>
      <c r="AA337" s="144">
        <f t="shared" si="40"/>
        <v>1350</v>
      </c>
      <c r="AB337" s="144">
        <f t="shared" si="40"/>
        <v>2200</v>
      </c>
      <c r="AC337" s="144">
        <f t="shared" si="40"/>
        <v>0</v>
      </c>
      <c r="AD337" s="144">
        <f t="shared" si="40"/>
        <v>0</v>
      </c>
      <c r="AE337" s="144">
        <f t="shared" si="40"/>
        <v>0</v>
      </c>
      <c r="AF337" s="144">
        <f t="shared" si="40"/>
        <v>0</v>
      </c>
      <c r="AG337" s="144">
        <f t="shared" si="40"/>
        <v>1400</v>
      </c>
      <c r="AH337" s="144">
        <f t="shared" si="40"/>
        <v>0</v>
      </c>
      <c r="AI337" s="144">
        <f t="shared" si="40"/>
        <v>0</v>
      </c>
      <c r="AJ337" s="144">
        <f t="shared" si="40"/>
        <v>0</v>
      </c>
      <c r="AK337" s="144">
        <f t="shared" si="40"/>
        <v>0</v>
      </c>
      <c r="AL337" s="144">
        <f t="shared" si="40"/>
        <v>0</v>
      </c>
      <c r="AM337" s="144">
        <f t="shared" si="40"/>
        <v>0</v>
      </c>
      <c r="AN337" s="144">
        <f t="shared" si="40"/>
        <v>0</v>
      </c>
      <c r="AO337" s="144">
        <f t="shared" si="40"/>
        <v>0</v>
      </c>
      <c r="AP337" s="144">
        <f t="shared" si="40"/>
        <v>0</v>
      </c>
      <c r="AQ337" s="144">
        <f t="shared" si="40"/>
        <v>0</v>
      </c>
      <c r="AR337" s="144">
        <f t="shared" si="40"/>
        <v>0</v>
      </c>
      <c r="AS337" s="144">
        <f t="shared" si="40"/>
        <v>0</v>
      </c>
      <c r="AT337" s="144">
        <f t="shared" si="40"/>
        <v>1516</v>
      </c>
      <c r="AU337" s="144">
        <f t="shared" si="40"/>
        <v>0</v>
      </c>
      <c r="AV337" s="144">
        <f t="shared" si="40"/>
        <v>0</v>
      </c>
      <c r="AW337" s="144">
        <f t="shared" si="40"/>
        <v>0</v>
      </c>
      <c r="AX337" s="144">
        <f t="shared" si="40"/>
        <v>1500</v>
      </c>
      <c r="AY337" s="144">
        <f t="shared" si="40"/>
        <v>0</v>
      </c>
      <c r="AZ337" s="144">
        <f t="shared" si="40"/>
        <v>0</v>
      </c>
      <c r="BA337" s="144">
        <f t="shared" si="40"/>
        <v>0</v>
      </c>
      <c r="BB337" s="144">
        <f t="shared" si="40"/>
        <v>4122</v>
      </c>
      <c r="BC337" s="144">
        <f t="shared" si="40"/>
        <v>0</v>
      </c>
      <c r="BD337" s="144">
        <f t="shared" si="40"/>
        <v>0</v>
      </c>
      <c r="BE337" s="144">
        <f t="shared" si="40"/>
        <v>0</v>
      </c>
      <c r="BF337" s="144">
        <f t="shared" si="40"/>
        <v>0</v>
      </c>
      <c r="BG337" s="144">
        <f t="shared" si="40"/>
        <v>1470</v>
      </c>
      <c r="BH337" s="144">
        <f t="shared" si="40"/>
        <v>0</v>
      </c>
      <c r="BI337" s="144">
        <f t="shared" si="40"/>
        <v>0</v>
      </c>
      <c r="BJ337" s="144">
        <f t="shared" si="40"/>
        <v>0</v>
      </c>
      <c r="BK337" s="144">
        <f t="shared" si="40"/>
        <v>0</v>
      </c>
      <c r="BL337" s="144">
        <f t="shared" si="40"/>
        <v>0</v>
      </c>
      <c r="BM337" s="144">
        <f t="shared" si="40"/>
        <v>0</v>
      </c>
      <c r="BN337" s="144">
        <f t="shared" si="40"/>
        <v>0</v>
      </c>
      <c r="BO337" s="144">
        <f t="shared" si="40"/>
        <v>0</v>
      </c>
      <c r="BP337" s="144"/>
      <c r="BQ337" s="144"/>
      <c r="BR337" s="144"/>
      <c r="BS337" s="144"/>
      <c r="BT337" s="144"/>
      <c r="BU337" s="144"/>
      <c r="BV337" s="144"/>
      <c r="BW337" s="144"/>
      <c r="BX337" s="144"/>
      <c r="BY337" s="144"/>
      <c r="BZ337" s="144">
        <f>SUBTOTAL(9,BZ326:BZ333)</f>
        <v>0</v>
      </c>
    </row>
    <row r="338" spans="2:78" s="121" customFormat="1" outlineLevel="2">
      <c r="B338" s="121" t="s">
        <v>1426</v>
      </c>
      <c r="C338" s="121" t="s">
        <v>1467</v>
      </c>
      <c r="D338" s="145" t="s">
        <v>198</v>
      </c>
      <c r="F338" s="149" t="s">
        <v>178</v>
      </c>
      <c r="H338" s="122" t="s">
        <v>1468</v>
      </c>
      <c r="I338" s="124"/>
      <c r="J338" s="124"/>
      <c r="K338" s="124" t="s">
        <v>1469</v>
      </c>
      <c r="L338" s="124" t="s">
        <v>890</v>
      </c>
      <c r="M338" s="125" t="s">
        <v>183</v>
      </c>
      <c r="N338" s="126">
        <f t="shared" ref="N338:N344" si="41">SUM(O338:BO338)</f>
        <v>900</v>
      </c>
      <c r="O338" s="127">
        <v>0</v>
      </c>
      <c r="P338" s="127"/>
      <c r="Q338" s="127"/>
      <c r="R338" s="127"/>
      <c r="S338" s="127"/>
      <c r="T338" s="127">
        <v>0</v>
      </c>
      <c r="U338" s="127"/>
      <c r="V338" s="127"/>
      <c r="W338" s="127"/>
      <c r="X338" s="127">
        <v>0</v>
      </c>
      <c r="Y338" s="127"/>
      <c r="Z338" s="127"/>
      <c r="AA338" s="127">
        <v>0</v>
      </c>
      <c r="AB338" s="127">
        <v>0</v>
      </c>
      <c r="AC338" s="127"/>
      <c r="AD338" s="127"/>
      <c r="AE338" s="127"/>
      <c r="AF338" s="127"/>
      <c r="AG338" s="127">
        <v>0</v>
      </c>
      <c r="AH338" s="127"/>
      <c r="AI338" s="127"/>
      <c r="AJ338" s="127"/>
      <c r="AK338" s="127">
        <v>0</v>
      </c>
      <c r="AL338" s="127"/>
      <c r="AM338" s="127"/>
      <c r="AN338" s="127"/>
      <c r="AO338" s="127">
        <v>0</v>
      </c>
      <c r="AP338" s="127"/>
      <c r="AQ338" s="127"/>
      <c r="AR338" s="127"/>
      <c r="AS338" s="127"/>
      <c r="AT338" s="127">
        <v>900</v>
      </c>
      <c r="AU338" s="127"/>
      <c r="AV338" s="127"/>
      <c r="AW338" s="127"/>
      <c r="AX338" s="127">
        <v>0</v>
      </c>
      <c r="AY338" s="127"/>
      <c r="AZ338" s="127"/>
      <c r="BA338" s="127"/>
      <c r="BB338" s="127">
        <v>0</v>
      </c>
      <c r="BC338" s="127"/>
      <c r="BD338" s="127"/>
      <c r="BE338" s="127"/>
      <c r="BF338" s="127"/>
      <c r="BG338" s="127">
        <v>0</v>
      </c>
      <c r="BH338" s="127"/>
      <c r="BI338" s="127"/>
      <c r="BJ338" s="127"/>
      <c r="BK338" s="127">
        <v>0</v>
      </c>
      <c r="BL338" s="127"/>
      <c r="BM338" s="127"/>
      <c r="BN338" s="127"/>
      <c r="BO338" s="127"/>
      <c r="BP338" s="127" t="s">
        <v>1470</v>
      </c>
      <c r="BQ338" s="127" t="s">
        <v>1471</v>
      </c>
      <c r="BR338" s="127" t="s">
        <v>1472</v>
      </c>
      <c r="BS338" s="127" t="s">
        <v>1473</v>
      </c>
      <c r="BT338" s="127" t="s">
        <v>239</v>
      </c>
      <c r="BU338" s="127" t="s">
        <v>189</v>
      </c>
      <c r="BV338" s="127" t="s">
        <v>205</v>
      </c>
      <c r="BW338" s="127" t="s">
        <v>343</v>
      </c>
      <c r="BX338" s="127" t="s">
        <v>1013</v>
      </c>
      <c r="BY338" s="127" t="s">
        <v>1474</v>
      </c>
      <c r="BZ338" s="131" t="s">
        <v>1081</v>
      </c>
    </row>
    <row r="339" spans="2:78" s="121" customFormat="1" outlineLevel="2">
      <c r="B339" s="121" t="s">
        <v>1426</v>
      </c>
      <c r="C339" s="121" t="s">
        <v>1467</v>
      </c>
      <c r="D339" s="145" t="s">
        <v>198</v>
      </c>
      <c r="F339" s="149" t="s">
        <v>178</v>
      </c>
      <c r="H339" s="122" t="s">
        <v>1130</v>
      </c>
      <c r="I339" s="124"/>
      <c r="J339" s="124"/>
      <c r="K339" s="124" t="s">
        <v>1131</v>
      </c>
      <c r="L339" s="124" t="s">
        <v>890</v>
      </c>
      <c r="M339" s="125" t="s">
        <v>183</v>
      </c>
      <c r="N339" s="126">
        <f t="shared" si="41"/>
        <v>400</v>
      </c>
      <c r="O339" s="127">
        <v>0</v>
      </c>
      <c r="P339" s="127"/>
      <c r="Q339" s="127"/>
      <c r="R339" s="127"/>
      <c r="S339" s="127"/>
      <c r="T339" s="127">
        <v>0</v>
      </c>
      <c r="U339" s="127"/>
      <c r="V339" s="127"/>
      <c r="W339" s="127"/>
      <c r="X339" s="127">
        <v>0</v>
      </c>
      <c r="Y339" s="127"/>
      <c r="Z339" s="127"/>
      <c r="AA339" s="127"/>
      <c r="AB339" s="127">
        <v>0</v>
      </c>
      <c r="AC339" s="127"/>
      <c r="AD339" s="127"/>
      <c r="AE339" s="127"/>
      <c r="AF339" s="127"/>
      <c r="AG339" s="127">
        <v>0</v>
      </c>
      <c r="AH339" s="127"/>
      <c r="AI339" s="127"/>
      <c r="AJ339" s="127"/>
      <c r="AK339" s="127">
        <v>0</v>
      </c>
      <c r="AL339" s="127"/>
      <c r="AM339" s="127"/>
      <c r="AN339" s="127"/>
      <c r="AO339" s="127">
        <v>0</v>
      </c>
      <c r="AP339" s="127"/>
      <c r="AQ339" s="127"/>
      <c r="AR339" s="127"/>
      <c r="AS339" s="127"/>
      <c r="AT339" s="127">
        <v>0</v>
      </c>
      <c r="AU339" s="127"/>
      <c r="AV339" s="127"/>
      <c r="AW339" s="127"/>
      <c r="AX339" s="127">
        <v>0</v>
      </c>
      <c r="AY339" s="127"/>
      <c r="AZ339" s="127"/>
      <c r="BA339" s="127"/>
      <c r="BB339" s="127">
        <v>400</v>
      </c>
      <c r="BC339" s="127"/>
      <c r="BD339" s="127"/>
      <c r="BE339" s="127"/>
      <c r="BF339" s="127"/>
      <c r="BG339" s="127">
        <v>0</v>
      </c>
      <c r="BH339" s="127"/>
      <c r="BI339" s="127"/>
      <c r="BJ339" s="127"/>
      <c r="BK339" s="127">
        <v>0</v>
      </c>
      <c r="BL339" s="127"/>
      <c r="BM339" s="127"/>
      <c r="BN339" s="127"/>
      <c r="BO339" s="127"/>
      <c r="BP339" s="127" t="s">
        <v>1132</v>
      </c>
      <c r="BQ339" s="127" t="s">
        <v>1133</v>
      </c>
      <c r="BR339" s="127" t="s">
        <v>1134</v>
      </c>
      <c r="BS339" s="127" t="s">
        <v>1135</v>
      </c>
      <c r="BT339" s="127" t="s">
        <v>239</v>
      </c>
      <c r="BU339" s="127" t="s">
        <v>1012</v>
      </c>
      <c r="BV339" s="127" t="s">
        <v>205</v>
      </c>
      <c r="BW339" s="127" t="s">
        <v>343</v>
      </c>
      <c r="BX339" s="127" t="s">
        <v>534</v>
      </c>
      <c r="BY339" s="127" t="s">
        <v>1136</v>
      </c>
      <c r="BZ339" s="131" t="s">
        <v>1081</v>
      </c>
    </row>
    <row r="340" spans="2:78" s="121" customFormat="1" outlineLevel="2">
      <c r="B340" s="121" t="s">
        <v>1426</v>
      </c>
      <c r="C340" s="121" t="s">
        <v>1467</v>
      </c>
      <c r="D340" s="145" t="s">
        <v>198</v>
      </c>
      <c r="F340" s="121" t="s">
        <v>178</v>
      </c>
      <c r="G340" s="121" t="s">
        <v>1475</v>
      </c>
      <c r="H340" s="122" t="s">
        <v>1476</v>
      </c>
      <c r="I340" s="124"/>
      <c r="J340" s="124"/>
      <c r="K340" s="124" t="s">
        <v>1477</v>
      </c>
      <c r="L340" s="124" t="s">
        <v>890</v>
      </c>
      <c r="M340" s="125" t="s">
        <v>183</v>
      </c>
      <c r="N340" s="126">
        <f t="shared" si="41"/>
        <v>0</v>
      </c>
      <c r="O340" s="127">
        <v>0</v>
      </c>
      <c r="P340" s="127"/>
      <c r="Q340" s="127"/>
      <c r="R340" s="127"/>
      <c r="S340" s="127"/>
      <c r="T340" s="127">
        <v>0</v>
      </c>
      <c r="U340" s="127"/>
      <c r="V340" s="127"/>
      <c r="W340" s="127"/>
      <c r="X340" s="127">
        <v>0</v>
      </c>
      <c r="Y340" s="127"/>
      <c r="Z340" s="127"/>
      <c r="AA340" s="127"/>
      <c r="AB340" s="127">
        <v>0</v>
      </c>
      <c r="AC340" s="127"/>
      <c r="AD340" s="127"/>
      <c r="AE340" s="127"/>
      <c r="AF340" s="127"/>
      <c r="AG340" s="127">
        <v>0</v>
      </c>
      <c r="AH340" s="127"/>
      <c r="AI340" s="127"/>
      <c r="AJ340" s="127"/>
      <c r="AK340" s="127">
        <v>0</v>
      </c>
      <c r="AL340" s="127"/>
      <c r="AM340" s="127"/>
      <c r="AN340" s="127"/>
      <c r="AO340" s="127">
        <v>0</v>
      </c>
      <c r="AP340" s="127"/>
      <c r="AQ340" s="127"/>
      <c r="AR340" s="127"/>
      <c r="AS340" s="127"/>
      <c r="AT340" s="127">
        <v>0</v>
      </c>
      <c r="AU340" s="127"/>
      <c r="AV340" s="127"/>
      <c r="AW340" s="127"/>
      <c r="AX340" s="127">
        <v>0</v>
      </c>
      <c r="AY340" s="127"/>
      <c r="AZ340" s="127"/>
      <c r="BA340" s="127"/>
      <c r="BB340" s="127">
        <v>0</v>
      </c>
      <c r="BC340" s="127"/>
      <c r="BD340" s="127"/>
      <c r="BE340" s="127"/>
      <c r="BF340" s="127"/>
      <c r="BG340" s="127">
        <v>0</v>
      </c>
      <c r="BH340" s="127"/>
      <c r="BI340" s="127"/>
      <c r="BJ340" s="127"/>
      <c r="BK340" s="127">
        <v>0</v>
      </c>
      <c r="BL340" s="127"/>
      <c r="BM340" s="127"/>
      <c r="BN340" s="127"/>
      <c r="BO340" s="127"/>
      <c r="BP340" s="127" t="s">
        <v>1478</v>
      </c>
      <c r="BQ340" s="127" t="s">
        <v>1102</v>
      </c>
      <c r="BR340" s="127" t="s">
        <v>1479</v>
      </c>
      <c r="BS340" s="127" t="s">
        <v>1480</v>
      </c>
      <c r="BT340" s="127" t="s">
        <v>188</v>
      </c>
      <c r="BU340" s="127" t="s">
        <v>189</v>
      </c>
      <c r="BV340" s="127" t="s">
        <v>229</v>
      </c>
      <c r="BW340" s="127" t="s">
        <v>343</v>
      </c>
      <c r="BX340" s="127" t="s">
        <v>1481</v>
      </c>
      <c r="BY340" s="127" t="s">
        <v>189</v>
      </c>
      <c r="BZ340" s="131" t="s">
        <v>1081</v>
      </c>
    </row>
    <row r="341" spans="2:78" s="121" customFormat="1" outlineLevel="2">
      <c r="B341" s="121" t="s">
        <v>1426</v>
      </c>
      <c r="C341" s="121" t="s">
        <v>1467</v>
      </c>
      <c r="D341" s="145" t="s">
        <v>198</v>
      </c>
      <c r="F341" s="107" t="s">
        <v>178</v>
      </c>
      <c r="G341" s="107" t="s">
        <v>199</v>
      </c>
      <c r="H341" s="122" t="s">
        <v>1066</v>
      </c>
      <c r="I341" s="124"/>
      <c r="J341" s="124"/>
      <c r="K341" s="124" t="s">
        <v>1067</v>
      </c>
      <c r="L341" s="124" t="s">
        <v>890</v>
      </c>
      <c r="M341" s="125" t="s">
        <v>183</v>
      </c>
      <c r="N341" s="126">
        <f t="shared" si="41"/>
        <v>550</v>
      </c>
      <c r="O341" s="127">
        <v>0</v>
      </c>
      <c r="P341" s="127"/>
      <c r="Q341" s="127"/>
      <c r="R341" s="127"/>
      <c r="S341" s="127"/>
      <c r="T341" s="127">
        <v>0</v>
      </c>
      <c r="U341" s="127"/>
      <c r="V341" s="127"/>
      <c r="W341" s="127"/>
      <c r="X341" s="127"/>
      <c r="Y341" s="127"/>
      <c r="Z341" s="127"/>
      <c r="AA341" s="130">
        <v>550</v>
      </c>
      <c r="AB341" s="127">
        <v>0</v>
      </c>
      <c r="AC341" s="127"/>
      <c r="AD341" s="127"/>
      <c r="AE341" s="127"/>
      <c r="AF341" s="127"/>
      <c r="AG341" s="127">
        <v>0</v>
      </c>
      <c r="AH341" s="127"/>
      <c r="AI341" s="127"/>
      <c r="AJ341" s="127"/>
      <c r="AK341" s="127">
        <v>0</v>
      </c>
      <c r="AL341" s="127"/>
      <c r="AM341" s="127"/>
      <c r="AN341" s="127"/>
      <c r="AO341" s="127">
        <v>0</v>
      </c>
      <c r="AP341" s="127"/>
      <c r="AQ341" s="127"/>
      <c r="AR341" s="127"/>
      <c r="AS341" s="127"/>
      <c r="AT341" s="127">
        <v>0</v>
      </c>
      <c r="AU341" s="127"/>
      <c r="AV341" s="127"/>
      <c r="AW341" s="127"/>
      <c r="AX341" s="127">
        <v>0</v>
      </c>
      <c r="AY341" s="127"/>
      <c r="AZ341" s="127"/>
      <c r="BA341" s="127"/>
      <c r="BB341" s="127">
        <v>0</v>
      </c>
      <c r="BC341" s="127"/>
      <c r="BD341" s="127"/>
      <c r="BE341" s="127"/>
      <c r="BF341" s="127"/>
      <c r="BG341" s="127">
        <v>0</v>
      </c>
      <c r="BH341" s="127"/>
      <c r="BI341" s="127"/>
      <c r="BJ341" s="127"/>
      <c r="BK341" s="127">
        <v>0</v>
      </c>
      <c r="BL341" s="127"/>
      <c r="BM341" s="127"/>
      <c r="BN341" s="127"/>
      <c r="BO341" s="127"/>
      <c r="BP341" s="127" t="s">
        <v>1068</v>
      </c>
      <c r="BQ341" s="127" t="s">
        <v>1069</v>
      </c>
      <c r="BR341" s="127" t="s">
        <v>1070</v>
      </c>
      <c r="BS341" s="127" t="s">
        <v>1071</v>
      </c>
      <c r="BT341" s="127" t="s">
        <v>188</v>
      </c>
      <c r="BU341" s="127" t="s">
        <v>189</v>
      </c>
      <c r="BV341" s="127" t="s">
        <v>395</v>
      </c>
      <c r="BW341" s="127" t="s">
        <v>191</v>
      </c>
      <c r="BX341" s="127" t="s">
        <v>702</v>
      </c>
      <c r="BY341" s="127" t="s">
        <v>1072</v>
      </c>
      <c r="BZ341" s="128" t="s">
        <v>1073</v>
      </c>
    </row>
    <row r="342" spans="2:78" s="121" customFormat="1" outlineLevel="2">
      <c r="B342" s="121" t="s">
        <v>1426</v>
      </c>
      <c r="C342" s="121" t="s">
        <v>1467</v>
      </c>
      <c r="D342" s="145" t="s">
        <v>198</v>
      </c>
      <c r="F342" s="121" t="s">
        <v>178</v>
      </c>
      <c r="H342" s="122" t="s">
        <v>1137</v>
      </c>
      <c r="I342" s="124"/>
      <c r="J342" s="124"/>
      <c r="K342" s="124"/>
      <c r="L342" s="124" t="s">
        <v>890</v>
      </c>
      <c r="M342" s="125" t="s">
        <v>183</v>
      </c>
      <c r="N342" s="126">
        <f t="shared" si="41"/>
        <v>800</v>
      </c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27"/>
      <c r="BE342" s="127">
        <v>800</v>
      </c>
      <c r="BF342" s="127"/>
      <c r="BG342" s="127"/>
      <c r="BH342" s="127"/>
      <c r="BI342" s="127"/>
      <c r="BJ342" s="127"/>
      <c r="BK342" s="127"/>
      <c r="BL342" s="127"/>
      <c r="BM342" s="127"/>
      <c r="BN342" s="127"/>
      <c r="BO342" s="127"/>
      <c r="BP342" s="127" t="s">
        <v>1138</v>
      </c>
      <c r="BQ342" s="127"/>
      <c r="BR342" s="127"/>
      <c r="BS342" s="127"/>
      <c r="BT342" s="127"/>
      <c r="BU342" s="127"/>
      <c r="BV342" s="127"/>
      <c r="BW342" s="127"/>
      <c r="BX342" s="127"/>
      <c r="BY342" s="127"/>
      <c r="BZ342" s="131" t="s">
        <v>1081</v>
      </c>
    </row>
    <row r="343" spans="2:78" s="121" customFormat="1" outlineLevel="2">
      <c r="B343" s="121" t="s">
        <v>1426</v>
      </c>
      <c r="C343" s="121" t="s">
        <v>1467</v>
      </c>
      <c r="D343" s="145" t="s">
        <v>198</v>
      </c>
      <c r="F343" s="149" t="s">
        <v>178</v>
      </c>
      <c r="G343" s="107" t="s">
        <v>199</v>
      </c>
      <c r="H343" s="122" t="s">
        <v>1122</v>
      </c>
      <c r="I343" s="124"/>
      <c r="J343" s="124"/>
      <c r="K343" s="124" t="s">
        <v>1123</v>
      </c>
      <c r="L343" s="124" t="s">
        <v>224</v>
      </c>
      <c r="M343" s="125" t="s">
        <v>183</v>
      </c>
      <c r="N343" s="126">
        <f>SUM(O343:BO343)</f>
        <v>1200</v>
      </c>
      <c r="O343" s="127">
        <v>0</v>
      </c>
      <c r="P343" s="127"/>
      <c r="Q343" s="127"/>
      <c r="R343" s="127"/>
      <c r="S343" s="127"/>
      <c r="T343" s="127">
        <v>0</v>
      </c>
      <c r="U343" s="130">
        <v>1200</v>
      </c>
      <c r="V343" s="127"/>
      <c r="W343" s="127"/>
      <c r="X343" s="127">
        <v>0</v>
      </c>
      <c r="Y343" s="127"/>
      <c r="Z343" s="127"/>
      <c r="AA343" s="127"/>
      <c r="AB343" s="127"/>
      <c r="AC343" s="127"/>
      <c r="AD343" s="127"/>
      <c r="AE343" s="127"/>
      <c r="AF343" s="127"/>
      <c r="AG343" s="127">
        <v>0</v>
      </c>
      <c r="AH343" s="127"/>
      <c r="AI343" s="127"/>
      <c r="AJ343" s="127"/>
      <c r="AK343" s="127">
        <v>0</v>
      </c>
      <c r="AL343" s="127"/>
      <c r="AM343" s="127"/>
      <c r="AN343" s="127"/>
      <c r="AO343" s="127">
        <v>0</v>
      </c>
      <c r="AP343" s="127"/>
      <c r="AQ343" s="127"/>
      <c r="AR343" s="127"/>
      <c r="AS343" s="127"/>
      <c r="AT343" s="127">
        <v>0</v>
      </c>
      <c r="AU343" s="127"/>
      <c r="AV343" s="127"/>
      <c r="AW343" s="127"/>
      <c r="AX343" s="127"/>
      <c r="AY343" s="127"/>
      <c r="AZ343" s="127"/>
      <c r="BA343" s="127"/>
      <c r="BB343" s="127">
        <v>0</v>
      </c>
      <c r="BC343" s="127"/>
      <c r="BD343" s="127"/>
      <c r="BE343" s="127"/>
      <c r="BF343" s="127"/>
      <c r="BG343" s="127">
        <v>0</v>
      </c>
      <c r="BH343" s="127"/>
      <c r="BI343" s="127"/>
      <c r="BJ343" s="127"/>
      <c r="BK343" s="127">
        <v>0</v>
      </c>
      <c r="BL343" s="127"/>
      <c r="BM343" s="127"/>
      <c r="BN343" s="127"/>
      <c r="BO343" s="127"/>
      <c r="BP343" s="127" t="s">
        <v>1124</v>
      </c>
      <c r="BQ343" s="127" t="s">
        <v>236</v>
      </c>
      <c r="BR343" s="127" t="s">
        <v>1125</v>
      </c>
      <c r="BS343" s="127" t="s">
        <v>1126</v>
      </c>
      <c r="BT343" s="127" t="s">
        <v>188</v>
      </c>
      <c r="BU343" s="127" t="s">
        <v>189</v>
      </c>
      <c r="BV343" s="127" t="s">
        <v>205</v>
      </c>
      <c r="BW343" s="127" t="s">
        <v>191</v>
      </c>
      <c r="BX343" s="127" t="s">
        <v>240</v>
      </c>
      <c r="BY343" s="127" t="s">
        <v>1127</v>
      </c>
      <c r="BZ343" s="131" t="s">
        <v>230</v>
      </c>
    </row>
    <row r="344" spans="2:78" ht="12.75" customHeight="1" outlineLevel="2">
      <c r="B344" s="102" t="s">
        <v>1426</v>
      </c>
      <c r="C344" s="129" t="s">
        <v>1467</v>
      </c>
      <c r="D344" s="129" t="s">
        <v>198</v>
      </c>
      <c r="E344" s="163"/>
      <c r="F344" s="149" t="s">
        <v>178</v>
      </c>
      <c r="G344" s="129"/>
      <c r="H344" s="166" t="s">
        <v>1482</v>
      </c>
      <c r="I344" s="124"/>
      <c r="J344" s="129"/>
      <c r="K344" s="124"/>
      <c r="L344" s="147" t="s">
        <v>890</v>
      </c>
      <c r="M344" s="125" t="s">
        <v>183</v>
      </c>
      <c r="N344" s="124">
        <f t="shared" si="41"/>
        <v>20000</v>
      </c>
      <c r="O344" s="127">
        <v>2800</v>
      </c>
      <c r="P344" s="127"/>
      <c r="Q344" s="127"/>
      <c r="R344" s="127"/>
      <c r="S344" s="127"/>
      <c r="T344" s="127">
        <v>2800</v>
      </c>
      <c r="U344" s="127"/>
      <c r="V344" s="127"/>
      <c r="W344" s="127"/>
      <c r="X344" s="127">
        <v>2800</v>
      </c>
      <c r="Y344" s="127"/>
      <c r="Z344" s="127"/>
      <c r="AA344" s="127"/>
      <c r="AB344" s="127">
        <v>2800</v>
      </c>
      <c r="AC344" s="127"/>
      <c r="AD344" s="127"/>
      <c r="AE344" s="127"/>
      <c r="AF344" s="127"/>
      <c r="AG344" s="127">
        <v>2800</v>
      </c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27"/>
      <c r="AX344" s="127">
        <v>2000</v>
      </c>
      <c r="AY344" s="127"/>
      <c r="AZ344" s="127"/>
      <c r="BA344" s="127"/>
      <c r="BB344" s="127">
        <v>2000</v>
      </c>
      <c r="BC344" s="127"/>
      <c r="BD344" s="127"/>
      <c r="BE344" s="127"/>
      <c r="BF344" s="127"/>
      <c r="BG344" s="127">
        <v>2000</v>
      </c>
      <c r="BH344" s="127"/>
      <c r="BI344" s="127"/>
      <c r="BJ344" s="127"/>
      <c r="BK344" s="127"/>
      <c r="BL344" s="127"/>
      <c r="BM344" s="127"/>
      <c r="BN344" s="127"/>
      <c r="BO344" s="127"/>
      <c r="BP344" s="127" t="s">
        <v>1465</v>
      </c>
      <c r="BQ344" s="165"/>
      <c r="BR344" s="165"/>
      <c r="BS344" s="165"/>
      <c r="BT344" s="165"/>
      <c r="BU344" s="165"/>
      <c r="BV344" s="165"/>
      <c r="BW344" s="165"/>
      <c r="BX344" s="165"/>
      <c r="BY344" s="165"/>
      <c r="BZ344" s="165"/>
    </row>
    <row r="345" spans="2:78" s="139" customFormat="1" outlineLevel="1">
      <c r="C345" s="140" t="s">
        <v>1483</v>
      </c>
      <c r="H345" s="141"/>
      <c r="I345" s="141"/>
      <c r="J345" s="141"/>
      <c r="K345" s="141"/>
      <c r="L345" s="141"/>
      <c r="M345" s="142"/>
      <c r="N345" s="143">
        <f>SUBTOTAL(9,N338:N344)</f>
        <v>23850</v>
      </c>
      <c r="O345" s="144">
        <f>SUBTOTAL(9,O338:O344)</f>
        <v>2800</v>
      </c>
      <c r="P345" s="144">
        <f t="shared" ref="P345:BO345" si="42">SUBTOTAL(9,P338:P344)</f>
        <v>0</v>
      </c>
      <c r="Q345" s="144">
        <f t="shared" si="42"/>
        <v>0</v>
      </c>
      <c r="R345" s="144">
        <f t="shared" si="42"/>
        <v>0</v>
      </c>
      <c r="S345" s="144">
        <f t="shared" si="42"/>
        <v>0</v>
      </c>
      <c r="T345" s="144">
        <f t="shared" si="42"/>
        <v>2800</v>
      </c>
      <c r="U345" s="144">
        <f t="shared" si="42"/>
        <v>1200</v>
      </c>
      <c r="V345" s="144">
        <f t="shared" si="42"/>
        <v>0</v>
      </c>
      <c r="W345" s="144">
        <f t="shared" si="42"/>
        <v>0</v>
      </c>
      <c r="X345" s="144">
        <f t="shared" si="42"/>
        <v>2800</v>
      </c>
      <c r="Y345" s="144">
        <f t="shared" si="42"/>
        <v>0</v>
      </c>
      <c r="Z345" s="144">
        <f t="shared" si="42"/>
        <v>0</v>
      </c>
      <c r="AA345" s="144">
        <f t="shared" si="42"/>
        <v>550</v>
      </c>
      <c r="AB345" s="144">
        <f t="shared" si="42"/>
        <v>2800</v>
      </c>
      <c r="AC345" s="144">
        <f t="shared" si="42"/>
        <v>0</v>
      </c>
      <c r="AD345" s="144">
        <f t="shared" si="42"/>
        <v>0</v>
      </c>
      <c r="AE345" s="144">
        <f t="shared" si="42"/>
        <v>0</v>
      </c>
      <c r="AF345" s="144">
        <f t="shared" si="42"/>
        <v>0</v>
      </c>
      <c r="AG345" s="144">
        <f t="shared" si="42"/>
        <v>2800</v>
      </c>
      <c r="AH345" s="144">
        <f t="shared" si="42"/>
        <v>0</v>
      </c>
      <c r="AI345" s="144">
        <f t="shared" si="42"/>
        <v>0</v>
      </c>
      <c r="AJ345" s="144">
        <f t="shared" si="42"/>
        <v>0</v>
      </c>
      <c r="AK345" s="144">
        <f t="shared" si="42"/>
        <v>0</v>
      </c>
      <c r="AL345" s="144">
        <f t="shared" si="42"/>
        <v>0</v>
      </c>
      <c r="AM345" s="144">
        <f t="shared" si="42"/>
        <v>0</v>
      </c>
      <c r="AN345" s="144">
        <f t="shared" si="42"/>
        <v>0</v>
      </c>
      <c r="AO345" s="144">
        <f t="shared" si="42"/>
        <v>0</v>
      </c>
      <c r="AP345" s="144">
        <f t="shared" si="42"/>
        <v>0</v>
      </c>
      <c r="AQ345" s="144">
        <f t="shared" si="42"/>
        <v>0</v>
      </c>
      <c r="AR345" s="144">
        <f t="shared" si="42"/>
        <v>0</v>
      </c>
      <c r="AS345" s="144">
        <f t="shared" si="42"/>
        <v>0</v>
      </c>
      <c r="AT345" s="144">
        <f t="shared" si="42"/>
        <v>900</v>
      </c>
      <c r="AU345" s="144">
        <f t="shared" si="42"/>
        <v>0</v>
      </c>
      <c r="AV345" s="144">
        <f t="shared" si="42"/>
        <v>0</v>
      </c>
      <c r="AW345" s="144">
        <f t="shared" si="42"/>
        <v>0</v>
      </c>
      <c r="AX345" s="144">
        <f t="shared" si="42"/>
        <v>2000</v>
      </c>
      <c r="AY345" s="144">
        <f t="shared" si="42"/>
        <v>0</v>
      </c>
      <c r="AZ345" s="144">
        <f t="shared" si="42"/>
        <v>0</v>
      </c>
      <c r="BA345" s="144">
        <f t="shared" si="42"/>
        <v>0</v>
      </c>
      <c r="BB345" s="144">
        <f t="shared" si="42"/>
        <v>2400</v>
      </c>
      <c r="BC345" s="144">
        <f t="shared" si="42"/>
        <v>0</v>
      </c>
      <c r="BD345" s="144">
        <f t="shared" si="42"/>
        <v>0</v>
      </c>
      <c r="BE345" s="144">
        <f t="shared" si="42"/>
        <v>800</v>
      </c>
      <c r="BF345" s="144">
        <f t="shared" si="42"/>
        <v>0</v>
      </c>
      <c r="BG345" s="144">
        <f t="shared" si="42"/>
        <v>2000</v>
      </c>
      <c r="BH345" s="144">
        <f t="shared" si="42"/>
        <v>0</v>
      </c>
      <c r="BI345" s="144">
        <f t="shared" si="42"/>
        <v>0</v>
      </c>
      <c r="BJ345" s="144">
        <f t="shared" si="42"/>
        <v>0</v>
      </c>
      <c r="BK345" s="144">
        <f t="shared" si="42"/>
        <v>0</v>
      </c>
      <c r="BL345" s="144">
        <f t="shared" si="42"/>
        <v>0</v>
      </c>
      <c r="BM345" s="144">
        <f t="shared" si="42"/>
        <v>0</v>
      </c>
      <c r="BN345" s="144">
        <f t="shared" si="42"/>
        <v>0</v>
      </c>
      <c r="BO345" s="144">
        <f t="shared" si="42"/>
        <v>0</v>
      </c>
      <c r="BP345" s="144"/>
      <c r="BQ345" s="144"/>
      <c r="BR345" s="144"/>
      <c r="BS345" s="144"/>
      <c r="BT345" s="144"/>
      <c r="BU345" s="144"/>
      <c r="BV345" s="144"/>
      <c r="BW345" s="144"/>
      <c r="BX345" s="144"/>
      <c r="BY345" s="144"/>
      <c r="BZ345" s="144">
        <f>SUBTOTAL(9,BZ338:BZ340)</f>
        <v>0</v>
      </c>
    </row>
    <row r="346" spans="2:78" s="121" customFormat="1" outlineLevel="2">
      <c r="B346" s="121" t="s">
        <v>1426</v>
      </c>
      <c r="C346" s="121" t="s">
        <v>1484</v>
      </c>
      <c r="D346" s="145" t="s">
        <v>198</v>
      </c>
      <c r="F346" s="149" t="s">
        <v>178</v>
      </c>
      <c r="H346" s="124" t="s">
        <v>1485</v>
      </c>
      <c r="I346" s="124"/>
      <c r="J346" s="124"/>
      <c r="K346" s="124" t="s">
        <v>1296</v>
      </c>
      <c r="L346" s="124" t="s">
        <v>666</v>
      </c>
      <c r="M346" s="125" t="s">
        <v>183</v>
      </c>
      <c r="N346" s="126">
        <f t="shared" ref="N346:N354" si="43">SUM(O346:BO346)</f>
        <v>400</v>
      </c>
      <c r="O346" s="127">
        <v>0</v>
      </c>
      <c r="P346" s="127"/>
      <c r="Q346" s="127"/>
      <c r="R346" s="127"/>
      <c r="S346" s="127"/>
      <c r="T346" s="127">
        <v>0</v>
      </c>
      <c r="U346" s="127"/>
      <c r="V346" s="127"/>
      <c r="W346" s="127"/>
      <c r="X346" s="127">
        <v>0</v>
      </c>
      <c r="Y346" s="127"/>
      <c r="Z346" s="127"/>
      <c r="AA346" s="127"/>
      <c r="AB346" s="127">
        <v>0</v>
      </c>
      <c r="AC346" s="127"/>
      <c r="AD346" s="127"/>
      <c r="AE346" s="127"/>
      <c r="AF346" s="127"/>
      <c r="AG346" s="127">
        <v>0</v>
      </c>
      <c r="AH346" s="127"/>
      <c r="AI346" s="127"/>
      <c r="AJ346" s="127"/>
      <c r="AK346" s="127">
        <v>0</v>
      </c>
      <c r="AL346" s="127"/>
      <c r="AM346" s="127"/>
      <c r="AN346" s="127"/>
      <c r="AO346" s="127">
        <v>400</v>
      </c>
      <c r="AP346" s="127"/>
      <c r="AQ346" s="127"/>
      <c r="AR346" s="127"/>
      <c r="AS346" s="127"/>
      <c r="AT346" s="127">
        <v>0</v>
      </c>
      <c r="AU346" s="127"/>
      <c r="AV346" s="127"/>
      <c r="AW346" s="127"/>
      <c r="AX346" s="127">
        <v>0</v>
      </c>
      <c r="AY346" s="127"/>
      <c r="AZ346" s="127"/>
      <c r="BA346" s="127"/>
      <c r="BB346" s="127">
        <v>0</v>
      </c>
      <c r="BC346" s="127"/>
      <c r="BD346" s="127"/>
      <c r="BE346" s="127"/>
      <c r="BF346" s="127"/>
      <c r="BG346" s="127">
        <v>0</v>
      </c>
      <c r="BH346" s="127"/>
      <c r="BI346" s="127"/>
      <c r="BJ346" s="127"/>
      <c r="BK346" s="127">
        <v>0</v>
      </c>
      <c r="BL346" s="127"/>
      <c r="BM346" s="127"/>
      <c r="BN346" s="127"/>
      <c r="BO346" s="127"/>
      <c r="BP346" s="127" t="s">
        <v>1486</v>
      </c>
      <c r="BQ346" s="127" t="s">
        <v>1283</v>
      </c>
      <c r="BR346" s="127" t="s">
        <v>1487</v>
      </c>
      <c r="BS346" s="127" t="s">
        <v>1488</v>
      </c>
      <c r="BT346" s="127" t="s">
        <v>188</v>
      </c>
      <c r="BU346" s="127" t="s">
        <v>1194</v>
      </c>
      <c r="BV346" s="127" t="s">
        <v>188</v>
      </c>
      <c r="BW346" s="127" t="s">
        <v>191</v>
      </c>
      <c r="BX346" s="127" t="s">
        <v>1489</v>
      </c>
      <c r="BY346" s="127" t="s">
        <v>1490</v>
      </c>
      <c r="BZ346" s="128" t="s">
        <v>1491</v>
      </c>
    </row>
    <row r="347" spans="2:78" s="121" customFormat="1" outlineLevel="2">
      <c r="B347" s="107" t="s">
        <v>1426</v>
      </c>
      <c r="C347" s="107" t="s">
        <v>1484</v>
      </c>
      <c r="D347" s="145" t="s">
        <v>1440</v>
      </c>
      <c r="F347" s="107" t="s">
        <v>178</v>
      </c>
      <c r="G347" s="107" t="s">
        <v>199</v>
      </c>
      <c r="H347" s="122" t="s">
        <v>664</v>
      </c>
      <c r="I347" s="124"/>
      <c r="J347" s="124"/>
      <c r="K347" s="124" t="s">
        <v>665</v>
      </c>
      <c r="L347" s="124" t="s">
        <v>666</v>
      </c>
      <c r="M347" s="125" t="s">
        <v>183</v>
      </c>
      <c r="N347" s="126">
        <f t="shared" si="43"/>
        <v>775</v>
      </c>
      <c r="O347" s="127">
        <v>0</v>
      </c>
      <c r="P347" s="127"/>
      <c r="Q347" s="127"/>
      <c r="R347" s="127"/>
      <c r="S347" s="127"/>
      <c r="T347" s="127">
        <v>0</v>
      </c>
      <c r="U347" s="127"/>
      <c r="V347" s="127"/>
      <c r="W347" s="127"/>
      <c r="X347" s="130">
        <v>590</v>
      </c>
      <c r="Y347" s="130">
        <v>185</v>
      </c>
      <c r="Z347" s="127"/>
      <c r="AA347" s="127"/>
      <c r="AB347" s="127"/>
      <c r="AC347" s="127"/>
      <c r="AD347" s="127"/>
      <c r="AE347" s="127"/>
      <c r="AF347" s="127"/>
      <c r="AG347" s="127">
        <v>0</v>
      </c>
      <c r="AH347" s="127"/>
      <c r="AI347" s="127"/>
      <c r="AJ347" s="127"/>
      <c r="AK347" s="127">
        <v>0</v>
      </c>
      <c r="AL347" s="127"/>
      <c r="AM347" s="127"/>
      <c r="AN347" s="127"/>
      <c r="AO347" s="127">
        <v>0</v>
      </c>
      <c r="AP347" s="127"/>
      <c r="AQ347" s="127"/>
      <c r="AR347" s="127"/>
      <c r="AS347" s="127"/>
      <c r="AT347" s="127">
        <v>0</v>
      </c>
      <c r="AU347" s="127"/>
      <c r="AV347" s="127"/>
      <c r="AW347" s="127"/>
      <c r="AX347" s="127">
        <v>0</v>
      </c>
      <c r="AY347" s="127"/>
      <c r="AZ347" s="127"/>
      <c r="BA347" s="127"/>
      <c r="BB347" s="127">
        <v>0</v>
      </c>
      <c r="BC347" s="127"/>
      <c r="BD347" s="127"/>
      <c r="BE347" s="127"/>
      <c r="BF347" s="127"/>
      <c r="BG347" s="127">
        <v>0</v>
      </c>
      <c r="BH347" s="127"/>
      <c r="BI347" s="127"/>
      <c r="BJ347" s="127"/>
      <c r="BK347" s="127">
        <v>0</v>
      </c>
      <c r="BL347" s="127"/>
      <c r="BM347" s="127"/>
      <c r="BN347" s="127"/>
      <c r="BO347" s="127"/>
      <c r="BP347" s="127" t="s">
        <v>667</v>
      </c>
      <c r="BQ347" s="127" t="s">
        <v>650</v>
      </c>
      <c r="BR347" s="127" t="s">
        <v>668</v>
      </c>
      <c r="BS347" s="127" t="s">
        <v>669</v>
      </c>
      <c r="BT347" s="127" t="s">
        <v>188</v>
      </c>
      <c r="BU347" s="127" t="s">
        <v>377</v>
      </c>
      <c r="BV347" s="127" t="s">
        <v>205</v>
      </c>
      <c r="BW347" s="127" t="s">
        <v>191</v>
      </c>
      <c r="BX347" s="127" t="s">
        <v>670</v>
      </c>
      <c r="BY347" s="127" t="s">
        <v>671</v>
      </c>
      <c r="BZ347" s="127" t="s">
        <v>672</v>
      </c>
    </row>
    <row r="348" spans="2:78" s="121" customFormat="1" outlineLevel="2">
      <c r="B348" s="107" t="s">
        <v>1426</v>
      </c>
      <c r="C348" s="107" t="s">
        <v>1484</v>
      </c>
      <c r="D348" s="145" t="s">
        <v>198</v>
      </c>
      <c r="F348" s="107" t="s">
        <v>178</v>
      </c>
      <c r="H348" s="124" t="s">
        <v>1222</v>
      </c>
      <c r="I348" s="124"/>
      <c r="J348" s="124"/>
      <c r="K348" s="124" t="s">
        <v>1223</v>
      </c>
      <c r="L348" s="124" t="s">
        <v>666</v>
      </c>
      <c r="M348" s="125" t="s">
        <v>183</v>
      </c>
      <c r="N348" s="126">
        <f t="shared" si="43"/>
        <v>0</v>
      </c>
      <c r="O348" s="127">
        <v>0</v>
      </c>
      <c r="P348" s="127"/>
      <c r="Q348" s="127"/>
      <c r="R348" s="127"/>
      <c r="S348" s="127"/>
      <c r="T348" s="127">
        <v>0</v>
      </c>
      <c r="U348" s="127"/>
      <c r="V348" s="127"/>
      <c r="W348" s="127"/>
      <c r="X348" s="127">
        <v>0</v>
      </c>
      <c r="Y348" s="127"/>
      <c r="Z348" s="127"/>
      <c r="AA348" s="127"/>
      <c r="AB348" s="127">
        <v>0</v>
      </c>
      <c r="AC348" s="127"/>
      <c r="AD348" s="127"/>
      <c r="AE348" s="127"/>
      <c r="AF348" s="127"/>
      <c r="AG348" s="127">
        <v>0</v>
      </c>
      <c r="AH348" s="127"/>
      <c r="AI348" s="127"/>
      <c r="AJ348" s="127"/>
      <c r="AK348" s="127">
        <v>0</v>
      </c>
      <c r="AL348" s="127"/>
      <c r="AM348" s="127"/>
      <c r="AN348" s="127"/>
      <c r="AO348" s="127">
        <v>0</v>
      </c>
      <c r="AP348" s="127"/>
      <c r="AQ348" s="127"/>
      <c r="AR348" s="127"/>
      <c r="AS348" s="127"/>
      <c r="AT348" s="127">
        <v>0</v>
      </c>
      <c r="AU348" s="127"/>
      <c r="AV348" s="127"/>
      <c r="AW348" s="127"/>
      <c r="AX348" s="127">
        <v>0</v>
      </c>
      <c r="AY348" s="127"/>
      <c r="AZ348" s="127"/>
      <c r="BA348" s="127"/>
      <c r="BB348" s="127">
        <v>0</v>
      </c>
      <c r="BC348" s="127"/>
      <c r="BD348" s="127"/>
      <c r="BE348" s="127"/>
      <c r="BF348" s="127"/>
      <c r="BG348" s="127"/>
      <c r="BH348" s="127"/>
      <c r="BI348" s="127"/>
      <c r="BJ348" s="127"/>
      <c r="BK348" s="127">
        <v>0</v>
      </c>
      <c r="BL348" s="127"/>
      <c r="BM348" s="127"/>
      <c r="BN348" s="127"/>
      <c r="BO348" s="127"/>
      <c r="BP348" s="127" t="s">
        <v>1224</v>
      </c>
      <c r="BQ348" s="127" t="s">
        <v>1225</v>
      </c>
      <c r="BR348" s="127" t="s">
        <v>1226</v>
      </c>
      <c r="BS348" s="127" t="s">
        <v>1227</v>
      </c>
      <c r="BT348" s="127" t="s">
        <v>239</v>
      </c>
      <c r="BU348" s="127" t="s">
        <v>1012</v>
      </c>
      <c r="BV348" s="127" t="s">
        <v>205</v>
      </c>
      <c r="BW348" s="127" t="s">
        <v>191</v>
      </c>
      <c r="BX348" s="127" t="s">
        <v>828</v>
      </c>
      <c r="BY348" s="127" t="s">
        <v>929</v>
      </c>
      <c r="BZ348" s="127" t="s">
        <v>1228</v>
      </c>
    </row>
    <row r="349" spans="2:78" s="121" customFormat="1" outlineLevel="2">
      <c r="B349" s="121" t="s">
        <v>1426</v>
      </c>
      <c r="C349" s="121" t="s">
        <v>1484</v>
      </c>
      <c r="D349" s="145" t="s">
        <v>198</v>
      </c>
      <c r="F349" s="149" t="s">
        <v>178</v>
      </c>
      <c r="H349" s="124" t="s">
        <v>1492</v>
      </c>
      <c r="I349" s="124"/>
      <c r="J349" s="124"/>
      <c r="K349" s="124" t="s">
        <v>1493</v>
      </c>
      <c r="L349" s="124" t="s">
        <v>666</v>
      </c>
      <c r="M349" s="125" t="s">
        <v>183</v>
      </c>
      <c r="N349" s="126">
        <f t="shared" si="43"/>
        <v>529</v>
      </c>
      <c r="O349" s="127">
        <v>529</v>
      </c>
      <c r="P349" s="127"/>
      <c r="Q349" s="127"/>
      <c r="R349" s="127"/>
      <c r="S349" s="127"/>
      <c r="T349" s="127">
        <v>0</v>
      </c>
      <c r="U349" s="127"/>
      <c r="V349" s="127"/>
      <c r="W349" s="127"/>
      <c r="X349" s="127">
        <v>0</v>
      </c>
      <c r="Y349" s="127"/>
      <c r="Z349" s="127"/>
      <c r="AA349" s="127"/>
      <c r="AB349" s="127"/>
      <c r="AC349" s="127"/>
      <c r="AD349" s="127"/>
      <c r="AE349" s="127"/>
      <c r="AF349" s="127"/>
      <c r="AG349" s="127">
        <v>0</v>
      </c>
      <c r="AH349" s="127"/>
      <c r="AI349" s="127"/>
      <c r="AJ349" s="127"/>
      <c r="AK349" s="127">
        <v>0</v>
      </c>
      <c r="AL349" s="127"/>
      <c r="AM349" s="127"/>
      <c r="AN349" s="127"/>
      <c r="AO349" s="127">
        <v>0</v>
      </c>
      <c r="AP349" s="127"/>
      <c r="AQ349" s="127"/>
      <c r="AR349" s="127"/>
      <c r="AS349" s="127"/>
      <c r="AT349" s="127">
        <v>0</v>
      </c>
      <c r="AU349" s="127"/>
      <c r="AV349" s="127"/>
      <c r="AW349" s="127"/>
      <c r="AX349" s="127">
        <v>0</v>
      </c>
      <c r="AY349" s="127"/>
      <c r="AZ349" s="127"/>
      <c r="BA349" s="127"/>
      <c r="BB349" s="127">
        <v>0</v>
      </c>
      <c r="BC349" s="127"/>
      <c r="BD349" s="127"/>
      <c r="BE349" s="127"/>
      <c r="BF349" s="127"/>
      <c r="BG349" s="127">
        <v>0</v>
      </c>
      <c r="BH349" s="127"/>
      <c r="BI349" s="127"/>
      <c r="BJ349" s="127"/>
      <c r="BK349" s="127">
        <v>0</v>
      </c>
      <c r="BL349" s="127"/>
      <c r="BM349" s="127"/>
      <c r="BN349" s="127"/>
      <c r="BO349" s="127"/>
      <c r="BP349" s="127" t="s">
        <v>1494</v>
      </c>
      <c r="BQ349" s="127" t="s">
        <v>1283</v>
      </c>
      <c r="BR349" s="127" t="s">
        <v>1495</v>
      </c>
      <c r="BS349" s="127" t="s">
        <v>1496</v>
      </c>
      <c r="BT349" s="127" t="s">
        <v>188</v>
      </c>
      <c r="BU349" s="127" t="s">
        <v>1012</v>
      </c>
      <c r="BV349" s="127" t="s">
        <v>1327</v>
      </c>
      <c r="BW349" s="127" t="s">
        <v>343</v>
      </c>
      <c r="BX349" s="127" t="s">
        <v>828</v>
      </c>
      <c r="BY349" s="127" t="s">
        <v>1497</v>
      </c>
      <c r="BZ349" s="127" t="s">
        <v>672</v>
      </c>
    </row>
    <row r="350" spans="2:78" s="121" customFormat="1" outlineLevel="2">
      <c r="B350" s="121" t="s">
        <v>1426</v>
      </c>
      <c r="C350" s="121" t="s">
        <v>1484</v>
      </c>
      <c r="D350" s="107" t="s">
        <v>1440</v>
      </c>
      <c r="F350" s="149" t="s">
        <v>178</v>
      </c>
      <c r="G350" s="107" t="s">
        <v>199</v>
      </c>
      <c r="H350" s="122" t="s">
        <v>1498</v>
      </c>
      <c r="I350" s="124"/>
      <c r="J350" s="124"/>
      <c r="K350" s="124" t="s">
        <v>1499</v>
      </c>
      <c r="L350" s="124" t="s">
        <v>666</v>
      </c>
      <c r="M350" s="125" t="s">
        <v>183</v>
      </c>
      <c r="N350" s="126">
        <f>SUM(O350:BO350)</f>
        <v>1700</v>
      </c>
      <c r="O350" s="127">
        <v>0</v>
      </c>
      <c r="P350" s="127"/>
      <c r="Q350" s="127"/>
      <c r="R350" s="127"/>
      <c r="S350" s="127"/>
      <c r="T350" s="127">
        <v>0</v>
      </c>
      <c r="U350" s="127"/>
      <c r="V350" s="127"/>
      <c r="W350" s="130">
        <v>1700</v>
      </c>
      <c r="X350" s="127"/>
      <c r="Y350" s="127"/>
      <c r="Z350" s="127"/>
      <c r="AA350" s="127"/>
      <c r="AB350" s="127"/>
      <c r="AC350" s="127"/>
      <c r="AD350" s="127"/>
      <c r="AE350" s="127"/>
      <c r="AF350" s="127"/>
      <c r="AG350" s="127">
        <v>0</v>
      </c>
      <c r="AH350" s="127"/>
      <c r="AI350" s="127"/>
      <c r="AJ350" s="127"/>
      <c r="AK350" s="127">
        <v>0</v>
      </c>
      <c r="AL350" s="127"/>
      <c r="AM350" s="127"/>
      <c r="AN350" s="127"/>
      <c r="AO350" s="127">
        <v>0</v>
      </c>
      <c r="AP350" s="127"/>
      <c r="AQ350" s="127"/>
      <c r="AR350" s="127"/>
      <c r="AS350" s="127"/>
      <c r="AT350" s="127">
        <v>0</v>
      </c>
      <c r="AU350" s="127"/>
      <c r="AV350" s="127"/>
      <c r="AW350" s="127"/>
      <c r="AX350" s="127">
        <v>0</v>
      </c>
      <c r="AY350" s="127"/>
      <c r="AZ350" s="127"/>
      <c r="BA350" s="127"/>
      <c r="BB350" s="127">
        <v>0</v>
      </c>
      <c r="BC350" s="127"/>
      <c r="BD350" s="127"/>
      <c r="BE350" s="127"/>
      <c r="BF350" s="127"/>
      <c r="BG350" s="127">
        <v>0</v>
      </c>
      <c r="BH350" s="127"/>
      <c r="BI350" s="127"/>
      <c r="BJ350" s="127"/>
      <c r="BK350" s="127">
        <v>0</v>
      </c>
      <c r="BL350" s="127"/>
      <c r="BM350" s="127"/>
      <c r="BN350" s="127"/>
      <c r="BO350" s="127"/>
      <c r="BP350" s="127" t="s">
        <v>1500</v>
      </c>
      <c r="BQ350" s="127" t="s">
        <v>1225</v>
      </c>
      <c r="BR350" s="127" t="s">
        <v>1501</v>
      </c>
      <c r="BS350" s="127" t="s">
        <v>1502</v>
      </c>
      <c r="BT350" s="127" t="s">
        <v>303</v>
      </c>
      <c r="BU350" s="127" t="s">
        <v>189</v>
      </c>
      <c r="BV350" s="127" t="s">
        <v>205</v>
      </c>
      <c r="BW350" s="127" t="s">
        <v>191</v>
      </c>
      <c r="BX350" s="127" t="s">
        <v>500</v>
      </c>
      <c r="BY350" s="127" t="s">
        <v>1503</v>
      </c>
      <c r="BZ350" s="127" t="s">
        <v>672</v>
      </c>
    </row>
    <row r="351" spans="2:78" s="121" customFormat="1" outlineLevel="2">
      <c r="B351" s="121" t="s">
        <v>1426</v>
      </c>
      <c r="C351" s="121" t="s">
        <v>1484</v>
      </c>
      <c r="D351" s="107" t="s">
        <v>198</v>
      </c>
      <c r="F351" s="149" t="s">
        <v>178</v>
      </c>
      <c r="G351" s="107" t="s">
        <v>199</v>
      </c>
      <c r="H351" s="122" t="s">
        <v>1498</v>
      </c>
      <c r="I351" s="124"/>
      <c r="J351" s="124"/>
      <c r="K351" s="124" t="s">
        <v>1499</v>
      </c>
      <c r="L351" s="124" t="s">
        <v>666</v>
      </c>
      <c r="M351" s="125" t="s">
        <v>183</v>
      </c>
      <c r="N351" s="126">
        <f>SUM(O351:BO351)</f>
        <v>1700</v>
      </c>
      <c r="O351" s="127">
        <v>0</v>
      </c>
      <c r="P351" s="127"/>
      <c r="Q351" s="127"/>
      <c r="R351" s="127"/>
      <c r="S351" s="127"/>
      <c r="T351" s="127">
        <v>0</v>
      </c>
      <c r="U351" s="127"/>
      <c r="V351" s="127"/>
      <c r="W351" s="130">
        <v>1700</v>
      </c>
      <c r="X351" s="127"/>
      <c r="Y351" s="127"/>
      <c r="Z351" s="127"/>
      <c r="AA351" s="127"/>
      <c r="AB351" s="127"/>
      <c r="AC351" s="127"/>
      <c r="AD351" s="127"/>
      <c r="AE351" s="127"/>
      <c r="AF351" s="127"/>
      <c r="AG351" s="127">
        <v>0</v>
      </c>
      <c r="AH351" s="127"/>
      <c r="AI351" s="127"/>
      <c r="AJ351" s="127"/>
      <c r="AK351" s="127">
        <v>0</v>
      </c>
      <c r="AL351" s="127"/>
      <c r="AM351" s="127"/>
      <c r="AN351" s="127"/>
      <c r="AO351" s="127">
        <v>0</v>
      </c>
      <c r="AP351" s="127"/>
      <c r="AQ351" s="127"/>
      <c r="AR351" s="127"/>
      <c r="AS351" s="127"/>
      <c r="AT351" s="127">
        <v>0</v>
      </c>
      <c r="AU351" s="127"/>
      <c r="AV351" s="127"/>
      <c r="AW351" s="127"/>
      <c r="AX351" s="127">
        <v>0</v>
      </c>
      <c r="AY351" s="127"/>
      <c r="AZ351" s="127"/>
      <c r="BA351" s="127"/>
      <c r="BB351" s="127">
        <v>0</v>
      </c>
      <c r="BC351" s="127"/>
      <c r="BD351" s="127"/>
      <c r="BE351" s="127"/>
      <c r="BF351" s="127"/>
      <c r="BG351" s="127">
        <v>0</v>
      </c>
      <c r="BH351" s="127"/>
      <c r="BI351" s="127"/>
      <c r="BJ351" s="127"/>
      <c r="BK351" s="127">
        <v>0</v>
      </c>
      <c r="BL351" s="127"/>
      <c r="BM351" s="127"/>
      <c r="BN351" s="127"/>
      <c r="BO351" s="127"/>
      <c r="BP351" s="127" t="s">
        <v>1500</v>
      </c>
      <c r="BQ351" s="127" t="s">
        <v>1225</v>
      </c>
      <c r="BR351" s="127" t="s">
        <v>1501</v>
      </c>
      <c r="BS351" s="127" t="s">
        <v>1502</v>
      </c>
      <c r="BT351" s="127" t="s">
        <v>303</v>
      </c>
      <c r="BU351" s="127" t="s">
        <v>189</v>
      </c>
      <c r="BV351" s="127" t="s">
        <v>205</v>
      </c>
      <c r="BW351" s="127" t="s">
        <v>191</v>
      </c>
      <c r="BX351" s="127" t="s">
        <v>500</v>
      </c>
      <c r="BY351" s="127" t="s">
        <v>1503</v>
      </c>
      <c r="BZ351" s="127" t="s">
        <v>672</v>
      </c>
    </row>
    <row r="352" spans="2:78" s="121" customFormat="1" outlineLevel="2">
      <c r="B352" s="121" t="s">
        <v>1426</v>
      </c>
      <c r="C352" s="121" t="s">
        <v>1484</v>
      </c>
      <c r="D352" s="145" t="s">
        <v>198</v>
      </c>
      <c r="F352" s="149" t="s">
        <v>178</v>
      </c>
      <c r="G352" s="107" t="s">
        <v>199</v>
      </c>
      <c r="H352" s="122" t="s">
        <v>1207</v>
      </c>
      <c r="I352" s="124"/>
      <c r="J352" s="124"/>
      <c r="K352" s="124" t="s">
        <v>1266</v>
      </c>
      <c r="L352" s="124" t="s">
        <v>666</v>
      </c>
      <c r="M352" s="125" t="s">
        <v>183</v>
      </c>
      <c r="N352" s="126">
        <f t="shared" si="43"/>
        <v>500</v>
      </c>
      <c r="O352" s="127"/>
      <c r="P352" s="127"/>
      <c r="Q352" s="127"/>
      <c r="R352" s="127"/>
      <c r="S352" s="127"/>
      <c r="T352" s="127"/>
      <c r="U352" s="127"/>
      <c r="V352" s="130">
        <v>500</v>
      </c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7"/>
      <c r="BR352" s="127"/>
      <c r="BS352" s="127"/>
      <c r="BT352" s="127"/>
      <c r="BU352" s="127"/>
      <c r="BV352" s="127"/>
      <c r="BW352" s="127"/>
      <c r="BX352" s="127"/>
      <c r="BY352" s="127"/>
      <c r="BZ352" s="127"/>
    </row>
    <row r="353" spans="2:78" s="121" customFormat="1" outlineLevel="2">
      <c r="B353" s="121" t="s">
        <v>1426</v>
      </c>
      <c r="C353" s="121" t="s">
        <v>1484</v>
      </c>
      <c r="D353" s="145" t="s">
        <v>198</v>
      </c>
      <c r="F353" s="107" t="s">
        <v>88</v>
      </c>
      <c r="G353" s="107" t="s">
        <v>199</v>
      </c>
      <c r="H353" s="122" t="s">
        <v>850</v>
      </c>
      <c r="I353" s="124" t="s">
        <v>571</v>
      </c>
      <c r="J353" s="124"/>
      <c r="K353" s="124" t="s">
        <v>1281</v>
      </c>
      <c r="L353" s="124" t="s">
        <v>666</v>
      </c>
      <c r="M353" s="125" t="s">
        <v>183</v>
      </c>
      <c r="N353" s="126">
        <f t="shared" si="43"/>
        <v>500</v>
      </c>
      <c r="O353" s="127">
        <v>0</v>
      </c>
      <c r="P353" s="127"/>
      <c r="Q353" s="127"/>
      <c r="R353" s="127"/>
      <c r="S353" s="127"/>
      <c r="T353" s="127">
        <v>0</v>
      </c>
      <c r="U353" s="127"/>
      <c r="V353" s="127"/>
      <c r="W353" s="127"/>
      <c r="X353" s="127">
        <v>0</v>
      </c>
      <c r="Y353" s="127"/>
      <c r="Z353" s="130">
        <v>500</v>
      </c>
      <c r="AA353" s="127"/>
      <c r="AB353" s="127"/>
      <c r="AC353" s="127"/>
      <c r="AD353" s="127"/>
      <c r="AE353" s="127"/>
      <c r="AF353" s="127"/>
      <c r="AG353" s="127">
        <v>0</v>
      </c>
      <c r="AH353" s="127"/>
      <c r="AI353" s="127"/>
      <c r="AJ353" s="127"/>
      <c r="AK353" s="127">
        <v>0</v>
      </c>
      <c r="AL353" s="127"/>
      <c r="AM353" s="127"/>
      <c r="AN353" s="127"/>
      <c r="AO353" s="127">
        <v>0</v>
      </c>
      <c r="AP353" s="127"/>
      <c r="AQ353" s="127"/>
      <c r="AR353" s="127"/>
      <c r="AS353" s="127"/>
      <c r="AT353" s="127">
        <v>0</v>
      </c>
      <c r="AU353" s="127"/>
      <c r="AV353" s="127"/>
      <c r="AW353" s="127"/>
      <c r="AX353" s="127">
        <v>0</v>
      </c>
      <c r="AY353" s="127"/>
      <c r="AZ353" s="127"/>
      <c r="BA353" s="127"/>
      <c r="BB353" s="127">
        <v>0</v>
      </c>
      <c r="BC353" s="127"/>
      <c r="BD353" s="127"/>
      <c r="BE353" s="127"/>
      <c r="BF353" s="127"/>
      <c r="BG353" s="127">
        <v>0</v>
      </c>
      <c r="BH353" s="127"/>
      <c r="BI353" s="127"/>
      <c r="BJ353" s="127"/>
      <c r="BK353" s="127">
        <v>0</v>
      </c>
      <c r="BL353" s="127"/>
      <c r="BM353" s="127"/>
      <c r="BN353" s="127"/>
      <c r="BO353" s="127"/>
      <c r="BP353" s="127" t="s">
        <v>852</v>
      </c>
      <c r="BQ353" s="127" t="s">
        <v>650</v>
      </c>
      <c r="BR353" s="127" t="s">
        <v>853</v>
      </c>
      <c r="BS353" s="127" t="s">
        <v>854</v>
      </c>
      <c r="BT353" s="127" t="s">
        <v>188</v>
      </c>
      <c r="BU353" s="127" t="s">
        <v>189</v>
      </c>
      <c r="BV353" s="127" t="s">
        <v>229</v>
      </c>
      <c r="BW353" s="127" t="s">
        <v>191</v>
      </c>
      <c r="BX353" s="127" t="s">
        <v>670</v>
      </c>
      <c r="BY353" s="127" t="s">
        <v>189</v>
      </c>
      <c r="BZ353" s="127" t="s">
        <v>855</v>
      </c>
    </row>
    <row r="354" spans="2:78" ht="12.75" customHeight="1" outlineLevel="2">
      <c r="B354" s="102" t="s">
        <v>1426</v>
      </c>
      <c r="C354" s="102" t="s">
        <v>1484</v>
      </c>
      <c r="D354" s="129" t="s">
        <v>198</v>
      </c>
      <c r="E354" s="163"/>
      <c r="F354" s="149" t="s">
        <v>178</v>
      </c>
      <c r="G354" s="124"/>
      <c r="H354" s="166" t="s">
        <v>1504</v>
      </c>
      <c r="I354" s="147"/>
      <c r="J354" s="147"/>
      <c r="K354" s="147"/>
      <c r="L354" s="147" t="s">
        <v>666</v>
      </c>
      <c r="M354" s="125" t="s">
        <v>183</v>
      </c>
      <c r="N354" s="124">
        <f t="shared" si="43"/>
        <v>13000</v>
      </c>
      <c r="O354" s="127">
        <v>1800</v>
      </c>
      <c r="P354" s="127"/>
      <c r="Q354" s="127"/>
      <c r="R354" s="127"/>
      <c r="S354" s="127"/>
      <c r="T354" s="127">
        <v>1800</v>
      </c>
      <c r="U354" s="127"/>
      <c r="V354" s="127"/>
      <c r="W354" s="127"/>
      <c r="X354" s="127">
        <v>1800</v>
      </c>
      <c r="Y354" s="127"/>
      <c r="Z354" s="127"/>
      <c r="AA354" s="127"/>
      <c r="AB354" s="127">
        <v>1800</v>
      </c>
      <c r="AC354" s="127"/>
      <c r="AD354" s="127"/>
      <c r="AE354" s="127"/>
      <c r="AF354" s="127"/>
      <c r="AG354" s="127">
        <v>1800</v>
      </c>
      <c r="AH354" s="127"/>
      <c r="AI354" s="127"/>
      <c r="AJ354" s="127"/>
      <c r="AK354" s="127"/>
      <c r="AL354" s="127"/>
      <c r="AM354" s="127"/>
      <c r="AN354" s="127"/>
      <c r="AO354" s="127"/>
      <c r="AP354" s="127"/>
      <c r="AQ354" s="127"/>
      <c r="AR354" s="127"/>
      <c r="AS354" s="127"/>
      <c r="AT354" s="127"/>
      <c r="AU354" s="127"/>
      <c r="AV354" s="127"/>
      <c r="AW354" s="127"/>
      <c r="AX354" s="127">
        <v>1500</v>
      </c>
      <c r="AY354" s="127"/>
      <c r="AZ354" s="127"/>
      <c r="BA354" s="127"/>
      <c r="BB354" s="167">
        <v>1500</v>
      </c>
      <c r="BC354" s="167"/>
      <c r="BD354" s="167"/>
      <c r="BE354" s="167"/>
      <c r="BF354" s="167"/>
      <c r="BG354" s="167">
        <v>1000</v>
      </c>
      <c r="BH354" s="167"/>
      <c r="BI354" s="167"/>
      <c r="BJ354" s="167"/>
      <c r="BK354" s="167"/>
      <c r="BL354" s="167"/>
      <c r="BM354" s="167"/>
      <c r="BN354" s="167"/>
      <c r="BO354" s="167"/>
      <c r="BP354" s="127" t="s">
        <v>1465</v>
      </c>
      <c r="BQ354" s="165"/>
      <c r="BR354" s="165"/>
      <c r="BS354" s="165"/>
      <c r="BT354" s="165"/>
      <c r="BU354" s="165"/>
      <c r="BV354" s="165"/>
      <c r="BW354" s="165"/>
      <c r="BX354" s="165"/>
      <c r="BY354" s="165"/>
      <c r="BZ354" s="165"/>
    </row>
    <row r="355" spans="2:78" s="139" customFormat="1" outlineLevel="1">
      <c r="C355" s="140" t="s">
        <v>1505</v>
      </c>
      <c r="H355" s="141"/>
      <c r="I355" s="141"/>
      <c r="J355" s="141"/>
      <c r="K355" s="141"/>
      <c r="L355" s="141"/>
      <c r="M355" s="142"/>
      <c r="N355" s="143">
        <f>SUBTOTAL(9,N346:N354)</f>
        <v>19104</v>
      </c>
      <c r="O355" s="144">
        <f>SUBTOTAL(9,O346:O354)</f>
        <v>2329</v>
      </c>
      <c r="P355" s="144">
        <f t="shared" ref="P355:BO355" si="44">SUBTOTAL(9,P346:P354)</f>
        <v>0</v>
      </c>
      <c r="Q355" s="144">
        <f t="shared" si="44"/>
        <v>0</v>
      </c>
      <c r="R355" s="144">
        <f t="shared" si="44"/>
        <v>0</v>
      </c>
      <c r="S355" s="144">
        <f t="shared" si="44"/>
        <v>0</v>
      </c>
      <c r="T355" s="144">
        <f t="shared" si="44"/>
        <v>1800</v>
      </c>
      <c r="U355" s="144">
        <f t="shared" si="44"/>
        <v>0</v>
      </c>
      <c r="V355" s="144">
        <f t="shared" si="44"/>
        <v>500</v>
      </c>
      <c r="W355" s="144">
        <f t="shared" si="44"/>
        <v>3400</v>
      </c>
      <c r="X355" s="144">
        <f t="shared" si="44"/>
        <v>2390</v>
      </c>
      <c r="Y355" s="144">
        <f t="shared" si="44"/>
        <v>185</v>
      </c>
      <c r="Z355" s="144">
        <f t="shared" si="44"/>
        <v>500</v>
      </c>
      <c r="AA355" s="144">
        <f t="shared" si="44"/>
        <v>0</v>
      </c>
      <c r="AB355" s="144">
        <f t="shared" si="44"/>
        <v>1800</v>
      </c>
      <c r="AC355" s="144">
        <f t="shared" si="44"/>
        <v>0</v>
      </c>
      <c r="AD355" s="144">
        <f t="shared" si="44"/>
        <v>0</v>
      </c>
      <c r="AE355" s="144">
        <f t="shared" si="44"/>
        <v>0</v>
      </c>
      <c r="AF355" s="144">
        <f t="shared" si="44"/>
        <v>0</v>
      </c>
      <c r="AG355" s="144">
        <f t="shared" si="44"/>
        <v>1800</v>
      </c>
      <c r="AH355" s="144">
        <f t="shared" si="44"/>
        <v>0</v>
      </c>
      <c r="AI355" s="144">
        <f t="shared" si="44"/>
        <v>0</v>
      </c>
      <c r="AJ355" s="144">
        <f t="shared" si="44"/>
        <v>0</v>
      </c>
      <c r="AK355" s="144">
        <f t="shared" si="44"/>
        <v>0</v>
      </c>
      <c r="AL355" s="144">
        <f t="shared" si="44"/>
        <v>0</v>
      </c>
      <c r="AM355" s="144">
        <f t="shared" si="44"/>
        <v>0</v>
      </c>
      <c r="AN355" s="144">
        <f t="shared" si="44"/>
        <v>0</v>
      </c>
      <c r="AO355" s="144">
        <f t="shared" si="44"/>
        <v>400</v>
      </c>
      <c r="AP355" s="144">
        <f t="shared" si="44"/>
        <v>0</v>
      </c>
      <c r="AQ355" s="144">
        <f t="shared" si="44"/>
        <v>0</v>
      </c>
      <c r="AR355" s="144">
        <f t="shared" si="44"/>
        <v>0</v>
      </c>
      <c r="AS355" s="144">
        <f t="shared" si="44"/>
        <v>0</v>
      </c>
      <c r="AT355" s="144">
        <f t="shared" si="44"/>
        <v>0</v>
      </c>
      <c r="AU355" s="144">
        <f t="shared" si="44"/>
        <v>0</v>
      </c>
      <c r="AV355" s="144">
        <f t="shared" si="44"/>
        <v>0</v>
      </c>
      <c r="AW355" s="144">
        <f t="shared" si="44"/>
        <v>0</v>
      </c>
      <c r="AX355" s="144">
        <f t="shared" si="44"/>
        <v>1500</v>
      </c>
      <c r="AY355" s="144">
        <f t="shared" si="44"/>
        <v>0</v>
      </c>
      <c r="AZ355" s="144">
        <f t="shared" si="44"/>
        <v>0</v>
      </c>
      <c r="BA355" s="144">
        <f t="shared" si="44"/>
        <v>0</v>
      </c>
      <c r="BB355" s="144">
        <f t="shared" si="44"/>
        <v>1500</v>
      </c>
      <c r="BC355" s="144">
        <f t="shared" si="44"/>
        <v>0</v>
      </c>
      <c r="BD355" s="144">
        <f t="shared" si="44"/>
        <v>0</v>
      </c>
      <c r="BE355" s="144">
        <f t="shared" si="44"/>
        <v>0</v>
      </c>
      <c r="BF355" s="144">
        <f t="shared" si="44"/>
        <v>0</v>
      </c>
      <c r="BG355" s="144">
        <f t="shared" si="44"/>
        <v>1000</v>
      </c>
      <c r="BH355" s="144">
        <f t="shared" si="44"/>
        <v>0</v>
      </c>
      <c r="BI355" s="144">
        <f t="shared" si="44"/>
        <v>0</v>
      </c>
      <c r="BJ355" s="144">
        <f t="shared" si="44"/>
        <v>0</v>
      </c>
      <c r="BK355" s="144">
        <f t="shared" si="44"/>
        <v>0</v>
      </c>
      <c r="BL355" s="144">
        <f t="shared" si="44"/>
        <v>0</v>
      </c>
      <c r="BM355" s="144">
        <f t="shared" si="44"/>
        <v>0</v>
      </c>
      <c r="BN355" s="144">
        <f t="shared" si="44"/>
        <v>0</v>
      </c>
      <c r="BO355" s="144">
        <f t="shared" si="44"/>
        <v>0</v>
      </c>
      <c r="BP355" s="144"/>
      <c r="BQ355" s="144"/>
      <c r="BR355" s="144"/>
      <c r="BS355" s="144"/>
      <c r="BT355" s="144"/>
      <c r="BU355" s="144"/>
      <c r="BV355" s="144"/>
      <c r="BW355" s="144"/>
      <c r="BX355" s="144"/>
      <c r="BY355" s="144"/>
      <c r="BZ355" s="144">
        <f>SUBTOTAL(9,BZ346:BZ349)</f>
        <v>0</v>
      </c>
    </row>
    <row r="356" spans="2:78" ht="12.75" customHeight="1" outlineLevel="2">
      <c r="B356" s="102" t="s">
        <v>1426</v>
      </c>
      <c r="C356" s="129" t="s">
        <v>1506</v>
      </c>
      <c r="D356" s="129" t="s">
        <v>198</v>
      </c>
      <c r="E356" s="163"/>
      <c r="F356" s="149" t="s">
        <v>178</v>
      </c>
      <c r="G356" s="129"/>
      <c r="H356" s="166" t="s">
        <v>1507</v>
      </c>
      <c r="I356" s="129"/>
      <c r="J356" s="168"/>
      <c r="K356" s="124"/>
      <c r="L356" s="147" t="s">
        <v>881</v>
      </c>
      <c r="M356" s="125" t="s">
        <v>183</v>
      </c>
      <c r="N356" s="124">
        <f>SUM(O356:BO356)</f>
        <v>10000</v>
      </c>
      <c r="O356" s="127">
        <v>1400</v>
      </c>
      <c r="P356" s="127"/>
      <c r="Q356" s="127"/>
      <c r="R356" s="127"/>
      <c r="S356" s="127"/>
      <c r="T356" s="127">
        <v>1400</v>
      </c>
      <c r="U356" s="127"/>
      <c r="V356" s="127"/>
      <c r="W356" s="127"/>
      <c r="X356" s="127">
        <v>1400</v>
      </c>
      <c r="Y356" s="127"/>
      <c r="Z356" s="127"/>
      <c r="AA356" s="127"/>
      <c r="AB356" s="127">
        <v>1400</v>
      </c>
      <c r="AC356" s="127"/>
      <c r="AD356" s="127"/>
      <c r="AE356" s="127"/>
      <c r="AF356" s="127"/>
      <c r="AG356" s="127">
        <v>1400</v>
      </c>
      <c r="AH356" s="127"/>
      <c r="AI356" s="127"/>
      <c r="AJ356" s="127"/>
      <c r="AK356" s="127"/>
      <c r="AL356" s="127"/>
      <c r="AM356" s="127"/>
      <c r="AN356" s="127"/>
      <c r="AO356" s="127"/>
      <c r="AP356" s="127"/>
      <c r="AQ356" s="127"/>
      <c r="AR356" s="127"/>
      <c r="AS356" s="127"/>
      <c r="AT356" s="127"/>
      <c r="AU356" s="127"/>
      <c r="AV356" s="127"/>
      <c r="AW356" s="127"/>
      <c r="AX356" s="127">
        <v>1000</v>
      </c>
      <c r="AY356" s="127"/>
      <c r="AZ356" s="127"/>
      <c r="BA356" s="127"/>
      <c r="BB356" s="127">
        <v>1000</v>
      </c>
      <c r="BC356" s="127"/>
      <c r="BD356" s="127"/>
      <c r="BE356" s="127"/>
      <c r="BF356" s="127"/>
      <c r="BG356" s="127">
        <v>1000</v>
      </c>
      <c r="BH356" s="127"/>
      <c r="BI356" s="127"/>
      <c r="BJ356" s="127"/>
      <c r="BK356" s="127"/>
      <c r="BL356" s="127"/>
      <c r="BM356" s="127"/>
      <c r="BN356" s="127"/>
      <c r="BO356" s="127"/>
      <c r="BP356" s="127" t="s">
        <v>1465</v>
      </c>
      <c r="BQ356" s="165"/>
      <c r="BR356" s="165"/>
      <c r="BS356" s="165"/>
      <c r="BT356" s="165"/>
      <c r="BU356" s="165"/>
      <c r="BV356" s="165"/>
      <c r="BW356" s="165"/>
      <c r="BX356" s="165"/>
      <c r="BY356" s="165"/>
      <c r="BZ356" s="165"/>
    </row>
    <row r="357" spans="2:78" s="139" customFormat="1" outlineLevel="1">
      <c r="C357" s="140" t="s">
        <v>1508</v>
      </c>
      <c r="H357" s="141"/>
      <c r="I357" s="141"/>
      <c r="J357" s="141"/>
      <c r="K357" s="141"/>
      <c r="L357" s="141"/>
      <c r="M357" s="142"/>
      <c r="N357" s="143">
        <f t="shared" ref="N357:BO357" si="45">SUBTOTAL(9,N356:N356)</f>
        <v>10000</v>
      </c>
      <c r="O357" s="144">
        <f t="shared" si="45"/>
        <v>1400</v>
      </c>
      <c r="P357" s="144">
        <f t="shared" si="45"/>
        <v>0</v>
      </c>
      <c r="Q357" s="144">
        <f t="shared" si="45"/>
        <v>0</v>
      </c>
      <c r="R357" s="144">
        <f t="shared" si="45"/>
        <v>0</v>
      </c>
      <c r="S357" s="144">
        <f t="shared" si="45"/>
        <v>0</v>
      </c>
      <c r="T357" s="144">
        <f t="shared" si="45"/>
        <v>1400</v>
      </c>
      <c r="U357" s="144">
        <f t="shared" si="45"/>
        <v>0</v>
      </c>
      <c r="V357" s="144">
        <f t="shared" si="45"/>
        <v>0</v>
      </c>
      <c r="W357" s="144">
        <f t="shared" si="45"/>
        <v>0</v>
      </c>
      <c r="X357" s="144">
        <f t="shared" si="45"/>
        <v>1400</v>
      </c>
      <c r="Y357" s="144">
        <f t="shared" si="45"/>
        <v>0</v>
      </c>
      <c r="Z357" s="144">
        <f t="shared" si="45"/>
        <v>0</v>
      </c>
      <c r="AA357" s="144">
        <f t="shared" si="45"/>
        <v>0</v>
      </c>
      <c r="AB357" s="144">
        <f t="shared" si="45"/>
        <v>1400</v>
      </c>
      <c r="AC357" s="144">
        <f t="shared" si="45"/>
        <v>0</v>
      </c>
      <c r="AD357" s="144">
        <f t="shared" si="45"/>
        <v>0</v>
      </c>
      <c r="AE357" s="144">
        <f t="shared" si="45"/>
        <v>0</v>
      </c>
      <c r="AF357" s="144">
        <f t="shared" si="45"/>
        <v>0</v>
      </c>
      <c r="AG357" s="144">
        <f t="shared" si="45"/>
        <v>1400</v>
      </c>
      <c r="AH357" s="144">
        <f t="shared" si="45"/>
        <v>0</v>
      </c>
      <c r="AI357" s="144">
        <f t="shared" si="45"/>
        <v>0</v>
      </c>
      <c r="AJ357" s="144">
        <f t="shared" si="45"/>
        <v>0</v>
      </c>
      <c r="AK357" s="144">
        <f t="shared" si="45"/>
        <v>0</v>
      </c>
      <c r="AL357" s="144">
        <f t="shared" si="45"/>
        <v>0</v>
      </c>
      <c r="AM357" s="144">
        <f t="shared" si="45"/>
        <v>0</v>
      </c>
      <c r="AN357" s="144">
        <f t="shared" si="45"/>
        <v>0</v>
      </c>
      <c r="AO357" s="144">
        <f t="shared" si="45"/>
        <v>0</v>
      </c>
      <c r="AP357" s="144">
        <f t="shared" si="45"/>
        <v>0</v>
      </c>
      <c r="AQ357" s="144">
        <f t="shared" si="45"/>
        <v>0</v>
      </c>
      <c r="AR357" s="144">
        <f t="shared" si="45"/>
        <v>0</v>
      </c>
      <c r="AS357" s="144">
        <f t="shared" si="45"/>
        <v>0</v>
      </c>
      <c r="AT357" s="144">
        <f t="shared" si="45"/>
        <v>0</v>
      </c>
      <c r="AU357" s="144">
        <f t="shared" si="45"/>
        <v>0</v>
      </c>
      <c r="AV357" s="144">
        <f t="shared" si="45"/>
        <v>0</v>
      </c>
      <c r="AW357" s="144">
        <f t="shared" si="45"/>
        <v>0</v>
      </c>
      <c r="AX357" s="144">
        <f t="shared" si="45"/>
        <v>1000</v>
      </c>
      <c r="AY357" s="144">
        <f t="shared" si="45"/>
        <v>0</v>
      </c>
      <c r="AZ357" s="144">
        <f t="shared" si="45"/>
        <v>0</v>
      </c>
      <c r="BA357" s="144">
        <f t="shared" si="45"/>
        <v>0</v>
      </c>
      <c r="BB357" s="144">
        <f t="shared" si="45"/>
        <v>1000</v>
      </c>
      <c r="BC357" s="144">
        <f t="shared" si="45"/>
        <v>0</v>
      </c>
      <c r="BD357" s="144">
        <f t="shared" si="45"/>
        <v>0</v>
      </c>
      <c r="BE357" s="144">
        <f t="shared" si="45"/>
        <v>0</v>
      </c>
      <c r="BF357" s="144">
        <f t="shared" si="45"/>
        <v>0</v>
      </c>
      <c r="BG357" s="144">
        <f t="shared" si="45"/>
        <v>1000</v>
      </c>
      <c r="BH357" s="144">
        <f t="shared" si="45"/>
        <v>0</v>
      </c>
      <c r="BI357" s="144">
        <f t="shared" si="45"/>
        <v>0</v>
      </c>
      <c r="BJ357" s="144">
        <f t="shared" si="45"/>
        <v>0</v>
      </c>
      <c r="BK357" s="144">
        <f t="shared" si="45"/>
        <v>0</v>
      </c>
      <c r="BL357" s="144">
        <f t="shared" si="45"/>
        <v>0</v>
      </c>
      <c r="BM357" s="144">
        <f t="shared" si="45"/>
        <v>0</v>
      </c>
      <c r="BN357" s="144">
        <f t="shared" si="45"/>
        <v>0</v>
      </c>
      <c r="BO357" s="144">
        <f t="shared" si="45"/>
        <v>0</v>
      </c>
      <c r="BP357" s="144"/>
      <c r="BQ357" s="144"/>
      <c r="BR357" s="144"/>
      <c r="BS357" s="144"/>
      <c r="BT357" s="144"/>
      <c r="BU357" s="144"/>
      <c r="BV357" s="144"/>
      <c r="BW357" s="144"/>
      <c r="BX357" s="144"/>
      <c r="BY357" s="144"/>
      <c r="BZ357" s="144">
        <f>SUBTOTAL(9,BZ356:BZ356)</f>
        <v>0</v>
      </c>
    </row>
    <row r="358" spans="2:78" s="121" customFormat="1" outlineLevel="2">
      <c r="B358" s="121" t="s">
        <v>1426</v>
      </c>
      <c r="C358" s="121" t="s">
        <v>1509</v>
      </c>
      <c r="D358" s="145" t="s">
        <v>198</v>
      </c>
      <c r="F358" s="149" t="s">
        <v>178</v>
      </c>
      <c r="H358" s="124" t="s">
        <v>1510</v>
      </c>
      <c r="I358" s="124"/>
      <c r="J358" s="124"/>
      <c r="K358" s="124" t="s">
        <v>1511</v>
      </c>
      <c r="L358" s="124" t="s">
        <v>372</v>
      </c>
      <c r="M358" s="125" t="s">
        <v>183</v>
      </c>
      <c r="N358" s="126">
        <f>SUM(O358:BO358)</f>
        <v>642</v>
      </c>
      <c r="O358" s="127">
        <v>0</v>
      </c>
      <c r="P358" s="127"/>
      <c r="Q358" s="127"/>
      <c r="R358" s="127"/>
      <c r="S358" s="127"/>
      <c r="T358" s="127">
        <v>0</v>
      </c>
      <c r="U358" s="127"/>
      <c r="V358" s="127"/>
      <c r="W358" s="127"/>
      <c r="X358" s="127">
        <v>0</v>
      </c>
      <c r="Y358" s="127"/>
      <c r="Z358" s="127"/>
      <c r="AA358" s="127"/>
      <c r="AB358" s="127">
        <v>0</v>
      </c>
      <c r="AC358" s="127"/>
      <c r="AD358" s="127"/>
      <c r="AE358" s="127"/>
      <c r="AF358" s="127"/>
      <c r="AG358" s="127">
        <v>0</v>
      </c>
      <c r="AH358" s="127"/>
      <c r="AI358" s="127"/>
      <c r="AJ358" s="127"/>
      <c r="AK358" s="127">
        <v>0</v>
      </c>
      <c r="AL358" s="127"/>
      <c r="AM358" s="127"/>
      <c r="AN358" s="127"/>
      <c r="AO358" s="127">
        <v>0</v>
      </c>
      <c r="AP358" s="127"/>
      <c r="AQ358" s="127"/>
      <c r="AR358" s="127"/>
      <c r="AS358" s="127"/>
      <c r="AT358" s="127">
        <v>0</v>
      </c>
      <c r="AU358" s="127"/>
      <c r="AV358" s="127"/>
      <c r="AW358" s="127"/>
      <c r="AX358" s="127">
        <v>0</v>
      </c>
      <c r="AY358" s="127"/>
      <c r="AZ358" s="127"/>
      <c r="BA358" s="127"/>
      <c r="BB358" s="127">
        <v>642</v>
      </c>
      <c r="BC358" s="127"/>
      <c r="BD358" s="127"/>
      <c r="BE358" s="127"/>
      <c r="BF358" s="127"/>
      <c r="BG358" s="127">
        <v>0</v>
      </c>
      <c r="BH358" s="127"/>
      <c r="BI358" s="127"/>
      <c r="BJ358" s="127"/>
      <c r="BK358" s="127">
        <v>0</v>
      </c>
      <c r="BL358" s="127"/>
      <c r="BM358" s="127"/>
      <c r="BN358" s="127"/>
      <c r="BO358" s="127"/>
      <c r="BP358" s="127" t="s">
        <v>1512</v>
      </c>
      <c r="BQ358" s="127" t="s">
        <v>1513</v>
      </c>
      <c r="BR358" s="127" t="s">
        <v>1514</v>
      </c>
      <c r="BS358" s="127" t="s">
        <v>1515</v>
      </c>
      <c r="BT358" s="127" t="s">
        <v>188</v>
      </c>
      <c r="BU358" s="127" t="s">
        <v>189</v>
      </c>
      <c r="BV358" s="127" t="s">
        <v>205</v>
      </c>
      <c r="BW358" s="127" t="s">
        <v>343</v>
      </c>
      <c r="BX358" s="127" t="s">
        <v>978</v>
      </c>
      <c r="BY358" s="127" t="s">
        <v>189</v>
      </c>
      <c r="BZ358" s="127" t="s">
        <v>397</v>
      </c>
    </row>
    <row r="359" spans="2:78" s="121" customFormat="1" outlineLevel="2">
      <c r="B359" s="121" t="s">
        <v>1426</v>
      </c>
      <c r="C359" s="121" t="s">
        <v>1509</v>
      </c>
      <c r="D359" s="145" t="s">
        <v>198</v>
      </c>
      <c r="F359" s="107" t="s">
        <v>178</v>
      </c>
      <c r="G359" s="107" t="s">
        <v>199</v>
      </c>
      <c r="H359" s="122" t="s">
        <v>1516</v>
      </c>
      <c r="I359" s="124"/>
      <c r="J359" s="124"/>
      <c r="K359" s="124" t="s">
        <v>1517</v>
      </c>
      <c r="L359" s="124" t="s">
        <v>372</v>
      </c>
      <c r="M359" s="125" t="s">
        <v>183</v>
      </c>
      <c r="N359" s="126">
        <f>SUM(O359:BO359)</f>
        <v>600</v>
      </c>
      <c r="O359" s="127">
        <v>0</v>
      </c>
      <c r="P359" s="127"/>
      <c r="Q359" s="127"/>
      <c r="R359" s="127"/>
      <c r="S359" s="127"/>
      <c r="T359" s="127">
        <v>0</v>
      </c>
      <c r="U359" s="130">
        <v>600</v>
      </c>
      <c r="V359" s="127"/>
      <c r="W359" s="127"/>
      <c r="X359" s="127">
        <v>0</v>
      </c>
      <c r="Y359" s="127"/>
      <c r="Z359" s="127"/>
      <c r="AA359" s="127"/>
      <c r="AB359" s="127">
        <v>0</v>
      </c>
      <c r="AC359" s="127"/>
      <c r="AD359" s="127"/>
      <c r="AE359" s="127"/>
      <c r="AF359" s="127"/>
      <c r="AG359" s="127">
        <v>0</v>
      </c>
      <c r="AH359" s="127"/>
      <c r="AI359" s="127"/>
      <c r="AJ359" s="127"/>
      <c r="AK359" s="127">
        <v>0</v>
      </c>
      <c r="AL359" s="127"/>
      <c r="AM359" s="127"/>
      <c r="AN359" s="127"/>
      <c r="AO359" s="127">
        <v>0</v>
      </c>
      <c r="AP359" s="127"/>
      <c r="AQ359" s="127"/>
      <c r="AR359" s="127"/>
      <c r="AS359" s="127"/>
      <c r="AT359" s="127"/>
      <c r="AU359" s="127"/>
      <c r="AV359" s="127"/>
      <c r="AW359" s="127"/>
      <c r="AX359" s="127">
        <v>0</v>
      </c>
      <c r="AY359" s="127"/>
      <c r="AZ359" s="127"/>
      <c r="BA359" s="127"/>
      <c r="BB359" s="127">
        <v>0</v>
      </c>
      <c r="BC359" s="127"/>
      <c r="BD359" s="127"/>
      <c r="BE359" s="127"/>
      <c r="BF359" s="127"/>
      <c r="BG359" s="127">
        <v>0</v>
      </c>
      <c r="BH359" s="127"/>
      <c r="BI359" s="127"/>
      <c r="BJ359" s="127"/>
      <c r="BK359" s="127">
        <v>0</v>
      </c>
      <c r="BL359" s="127"/>
      <c r="BM359" s="127"/>
      <c r="BN359" s="127"/>
      <c r="BO359" s="127"/>
      <c r="BP359" s="127" t="s">
        <v>1518</v>
      </c>
      <c r="BQ359" s="127" t="s">
        <v>419</v>
      </c>
      <c r="BR359" s="127" t="s">
        <v>1519</v>
      </c>
      <c r="BS359" s="127" t="s">
        <v>1520</v>
      </c>
      <c r="BT359" s="127" t="s">
        <v>188</v>
      </c>
      <c r="BU359" s="127" t="s">
        <v>189</v>
      </c>
      <c r="BV359" s="127" t="s">
        <v>229</v>
      </c>
      <c r="BW359" s="127" t="s">
        <v>343</v>
      </c>
      <c r="BX359" s="127" t="s">
        <v>1521</v>
      </c>
      <c r="BY359" s="127" t="s">
        <v>189</v>
      </c>
      <c r="BZ359" s="127" t="s">
        <v>397</v>
      </c>
    </row>
    <row r="360" spans="2:78" s="121" customFormat="1" outlineLevel="2">
      <c r="B360" s="121" t="s">
        <v>1426</v>
      </c>
      <c r="C360" s="121" t="s">
        <v>1509</v>
      </c>
      <c r="D360" s="145" t="s">
        <v>198</v>
      </c>
      <c r="F360" s="107" t="s">
        <v>178</v>
      </c>
      <c r="G360" s="107" t="s">
        <v>199</v>
      </c>
      <c r="H360" s="122" t="s">
        <v>1522</v>
      </c>
      <c r="I360" s="124"/>
      <c r="J360" s="124"/>
      <c r="K360" s="124" t="s">
        <v>1523</v>
      </c>
      <c r="L360" s="124" t="s">
        <v>372</v>
      </c>
      <c r="M360" s="125" t="s">
        <v>183</v>
      </c>
      <c r="N360" s="126">
        <f>SUM(O360:BO360)</f>
        <v>600</v>
      </c>
      <c r="O360" s="127"/>
      <c r="P360" s="127"/>
      <c r="Q360" s="127"/>
      <c r="R360" s="127"/>
      <c r="S360" s="127"/>
      <c r="T360" s="127">
        <v>0</v>
      </c>
      <c r="U360" s="130">
        <v>600</v>
      </c>
      <c r="V360" s="127"/>
      <c r="W360" s="127"/>
      <c r="X360" s="127">
        <v>0</v>
      </c>
      <c r="Y360" s="127"/>
      <c r="Z360" s="127"/>
      <c r="AA360" s="127"/>
      <c r="AB360" s="127">
        <v>0</v>
      </c>
      <c r="AC360" s="127"/>
      <c r="AD360" s="127"/>
      <c r="AE360" s="127"/>
      <c r="AF360" s="127"/>
      <c r="AG360" s="127">
        <v>0</v>
      </c>
      <c r="AH360" s="127"/>
      <c r="AI360" s="127"/>
      <c r="AJ360" s="127"/>
      <c r="AK360" s="127">
        <v>0</v>
      </c>
      <c r="AL360" s="127"/>
      <c r="AM360" s="127"/>
      <c r="AN360" s="127"/>
      <c r="AO360" s="127">
        <v>0</v>
      </c>
      <c r="AP360" s="127"/>
      <c r="AQ360" s="127"/>
      <c r="AR360" s="127"/>
      <c r="AS360" s="127"/>
      <c r="AT360" s="127">
        <v>0</v>
      </c>
      <c r="AU360" s="127"/>
      <c r="AV360" s="127"/>
      <c r="AW360" s="127"/>
      <c r="AX360" s="127">
        <v>0</v>
      </c>
      <c r="AY360" s="127"/>
      <c r="AZ360" s="127"/>
      <c r="BA360" s="127"/>
      <c r="BB360" s="127">
        <v>0</v>
      </c>
      <c r="BC360" s="127"/>
      <c r="BD360" s="127"/>
      <c r="BE360" s="127"/>
      <c r="BF360" s="127"/>
      <c r="BG360" s="127">
        <v>0</v>
      </c>
      <c r="BH360" s="127"/>
      <c r="BI360" s="127"/>
      <c r="BJ360" s="127"/>
      <c r="BK360" s="127">
        <v>0</v>
      </c>
      <c r="BL360" s="127"/>
      <c r="BM360" s="127"/>
      <c r="BN360" s="127"/>
      <c r="BO360" s="127"/>
      <c r="BP360" s="127" t="s">
        <v>1524</v>
      </c>
      <c r="BQ360" s="127" t="s">
        <v>419</v>
      </c>
      <c r="BR360" s="127" t="s">
        <v>189</v>
      </c>
      <c r="BS360" s="127" t="s">
        <v>189</v>
      </c>
      <c r="BT360" s="127" t="s">
        <v>188</v>
      </c>
      <c r="BU360" s="127" t="s">
        <v>189</v>
      </c>
      <c r="BV360" s="127" t="s">
        <v>304</v>
      </c>
      <c r="BW360" s="127" t="s">
        <v>191</v>
      </c>
      <c r="BX360" s="127" t="s">
        <v>1525</v>
      </c>
      <c r="BY360" s="127" t="s">
        <v>1526</v>
      </c>
      <c r="BZ360" s="127" t="s">
        <v>397</v>
      </c>
    </row>
    <row r="361" spans="2:78" ht="12.75" customHeight="1" outlineLevel="2">
      <c r="B361" s="102" t="s">
        <v>1426</v>
      </c>
      <c r="C361" s="129" t="s">
        <v>1509</v>
      </c>
      <c r="D361" s="129" t="s">
        <v>198</v>
      </c>
      <c r="E361" s="163"/>
      <c r="F361" s="149" t="s">
        <v>178</v>
      </c>
      <c r="G361" s="124"/>
      <c r="H361" s="164" t="s">
        <v>1527</v>
      </c>
      <c r="I361" s="163"/>
      <c r="J361" s="147"/>
      <c r="K361" s="147"/>
      <c r="L361" s="147" t="s">
        <v>372</v>
      </c>
      <c r="M361" s="125" t="s">
        <v>183</v>
      </c>
      <c r="N361" s="124">
        <f>SUM(O361:BO361)</f>
        <v>25000</v>
      </c>
      <c r="O361" s="127">
        <v>3200</v>
      </c>
      <c r="P361" s="127"/>
      <c r="Q361" s="127"/>
      <c r="R361" s="127"/>
      <c r="S361" s="127"/>
      <c r="T361" s="127">
        <v>3200</v>
      </c>
      <c r="U361" s="127"/>
      <c r="V361" s="127"/>
      <c r="W361" s="127"/>
      <c r="X361" s="127">
        <v>3200</v>
      </c>
      <c r="Y361" s="127"/>
      <c r="Z361" s="127"/>
      <c r="AA361" s="127"/>
      <c r="AB361" s="127">
        <v>3200</v>
      </c>
      <c r="AC361" s="127"/>
      <c r="AD361" s="127"/>
      <c r="AE361" s="127"/>
      <c r="AF361" s="127"/>
      <c r="AG361" s="127">
        <v>3200</v>
      </c>
      <c r="AH361" s="127"/>
      <c r="AI361" s="127"/>
      <c r="AJ361" s="12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>
        <v>3000</v>
      </c>
      <c r="AY361" s="167"/>
      <c r="AZ361" s="167"/>
      <c r="BA361" s="167"/>
      <c r="BB361" s="167">
        <v>3000</v>
      </c>
      <c r="BC361" s="167"/>
      <c r="BD361" s="167"/>
      <c r="BE361" s="167"/>
      <c r="BF361" s="167"/>
      <c r="BG361" s="167">
        <v>3000</v>
      </c>
      <c r="BH361" s="167"/>
      <c r="BI361" s="167"/>
      <c r="BJ361" s="167"/>
      <c r="BK361" s="127"/>
      <c r="BL361" s="127"/>
      <c r="BM361" s="127"/>
      <c r="BN361" s="127"/>
      <c r="BO361" s="127"/>
      <c r="BP361" s="127" t="s">
        <v>1465</v>
      </c>
      <c r="BQ361" s="165"/>
      <c r="BR361" s="165"/>
      <c r="BS361" s="165"/>
      <c r="BT361" s="165"/>
      <c r="BU361" s="165"/>
      <c r="BV361" s="165"/>
      <c r="BW361" s="165"/>
      <c r="BX361" s="165"/>
      <c r="BY361" s="165"/>
      <c r="BZ361" s="165"/>
    </row>
    <row r="362" spans="2:78" s="139" customFormat="1" outlineLevel="1">
      <c r="C362" s="140" t="s">
        <v>1528</v>
      </c>
      <c r="H362" s="141"/>
      <c r="I362" s="141"/>
      <c r="J362" s="141"/>
      <c r="K362" s="141"/>
      <c r="L362" s="141"/>
      <c r="M362" s="142"/>
      <c r="N362" s="143">
        <f t="shared" ref="N362:BO362" si="46">SUBTOTAL(9,N358:N361)</f>
        <v>26842</v>
      </c>
      <c r="O362" s="144">
        <f t="shared" si="46"/>
        <v>3200</v>
      </c>
      <c r="P362" s="144">
        <f t="shared" si="46"/>
        <v>0</v>
      </c>
      <c r="Q362" s="144">
        <f t="shared" si="46"/>
        <v>0</v>
      </c>
      <c r="R362" s="144">
        <f t="shared" si="46"/>
        <v>0</v>
      </c>
      <c r="S362" s="144">
        <f t="shared" si="46"/>
        <v>0</v>
      </c>
      <c r="T362" s="144">
        <f t="shared" si="46"/>
        <v>3200</v>
      </c>
      <c r="U362" s="144">
        <f t="shared" si="46"/>
        <v>1200</v>
      </c>
      <c r="V362" s="144">
        <f t="shared" si="46"/>
        <v>0</v>
      </c>
      <c r="W362" s="144">
        <f t="shared" si="46"/>
        <v>0</v>
      </c>
      <c r="X362" s="144">
        <f t="shared" si="46"/>
        <v>3200</v>
      </c>
      <c r="Y362" s="144">
        <f t="shared" si="46"/>
        <v>0</v>
      </c>
      <c r="Z362" s="144">
        <f t="shared" si="46"/>
        <v>0</v>
      </c>
      <c r="AA362" s="144">
        <f t="shared" si="46"/>
        <v>0</v>
      </c>
      <c r="AB362" s="144">
        <f t="shared" si="46"/>
        <v>3200</v>
      </c>
      <c r="AC362" s="144">
        <f t="shared" si="46"/>
        <v>0</v>
      </c>
      <c r="AD362" s="144">
        <f t="shared" si="46"/>
        <v>0</v>
      </c>
      <c r="AE362" s="144">
        <f t="shared" si="46"/>
        <v>0</v>
      </c>
      <c r="AF362" s="144">
        <f t="shared" si="46"/>
        <v>0</v>
      </c>
      <c r="AG362" s="144">
        <f t="shared" si="46"/>
        <v>3200</v>
      </c>
      <c r="AH362" s="144">
        <f t="shared" si="46"/>
        <v>0</v>
      </c>
      <c r="AI362" s="144">
        <f t="shared" si="46"/>
        <v>0</v>
      </c>
      <c r="AJ362" s="144">
        <f t="shared" si="46"/>
        <v>0</v>
      </c>
      <c r="AK362" s="144">
        <f t="shared" si="46"/>
        <v>0</v>
      </c>
      <c r="AL362" s="144">
        <f t="shared" si="46"/>
        <v>0</v>
      </c>
      <c r="AM362" s="144">
        <f t="shared" si="46"/>
        <v>0</v>
      </c>
      <c r="AN362" s="144">
        <f t="shared" si="46"/>
        <v>0</v>
      </c>
      <c r="AO362" s="144">
        <f t="shared" si="46"/>
        <v>0</v>
      </c>
      <c r="AP362" s="144">
        <f t="shared" si="46"/>
        <v>0</v>
      </c>
      <c r="AQ362" s="144">
        <f t="shared" si="46"/>
        <v>0</v>
      </c>
      <c r="AR362" s="144">
        <f t="shared" si="46"/>
        <v>0</v>
      </c>
      <c r="AS362" s="144">
        <f t="shared" si="46"/>
        <v>0</v>
      </c>
      <c r="AT362" s="144">
        <f t="shared" si="46"/>
        <v>0</v>
      </c>
      <c r="AU362" s="144">
        <f t="shared" si="46"/>
        <v>0</v>
      </c>
      <c r="AV362" s="144">
        <f t="shared" si="46"/>
        <v>0</v>
      </c>
      <c r="AW362" s="144">
        <f t="shared" si="46"/>
        <v>0</v>
      </c>
      <c r="AX362" s="144">
        <f t="shared" si="46"/>
        <v>3000</v>
      </c>
      <c r="AY362" s="144">
        <f t="shared" si="46"/>
        <v>0</v>
      </c>
      <c r="AZ362" s="144">
        <f t="shared" si="46"/>
        <v>0</v>
      </c>
      <c r="BA362" s="144">
        <f t="shared" si="46"/>
        <v>0</v>
      </c>
      <c r="BB362" s="144">
        <f t="shared" si="46"/>
        <v>3642</v>
      </c>
      <c r="BC362" s="144">
        <f t="shared" si="46"/>
        <v>0</v>
      </c>
      <c r="BD362" s="144">
        <f t="shared" si="46"/>
        <v>0</v>
      </c>
      <c r="BE362" s="144">
        <f t="shared" si="46"/>
        <v>0</v>
      </c>
      <c r="BF362" s="144">
        <f t="shared" si="46"/>
        <v>0</v>
      </c>
      <c r="BG362" s="144">
        <f t="shared" si="46"/>
        <v>3000</v>
      </c>
      <c r="BH362" s="144">
        <f t="shared" si="46"/>
        <v>0</v>
      </c>
      <c r="BI362" s="144">
        <f t="shared" si="46"/>
        <v>0</v>
      </c>
      <c r="BJ362" s="144">
        <f t="shared" si="46"/>
        <v>0</v>
      </c>
      <c r="BK362" s="144">
        <f t="shared" si="46"/>
        <v>0</v>
      </c>
      <c r="BL362" s="144">
        <f t="shared" si="46"/>
        <v>0</v>
      </c>
      <c r="BM362" s="144">
        <f t="shared" si="46"/>
        <v>0</v>
      </c>
      <c r="BN362" s="144">
        <f t="shared" si="46"/>
        <v>0</v>
      </c>
      <c r="BO362" s="144">
        <f t="shared" si="46"/>
        <v>0</v>
      </c>
      <c r="BP362" s="144"/>
      <c r="BQ362" s="144"/>
      <c r="BR362" s="144"/>
      <c r="BS362" s="144"/>
      <c r="BT362" s="144"/>
      <c r="BU362" s="144"/>
      <c r="BV362" s="144"/>
      <c r="BW362" s="144"/>
      <c r="BX362" s="144"/>
      <c r="BY362" s="144"/>
      <c r="BZ362" s="144">
        <f>SUBTOTAL(9,BZ358:BZ358)</f>
        <v>0</v>
      </c>
    </row>
    <row r="363" spans="2:78" s="121" customFormat="1" outlineLevel="2">
      <c r="B363" s="121" t="s">
        <v>1426</v>
      </c>
      <c r="C363" s="121" t="s">
        <v>1529</v>
      </c>
      <c r="D363" s="145" t="s">
        <v>198</v>
      </c>
      <c r="F363" s="149" t="s">
        <v>178</v>
      </c>
      <c r="H363" s="124" t="s">
        <v>1530</v>
      </c>
      <c r="I363" s="124"/>
      <c r="J363" s="124"/>
      <c r="K363" s="124" t="s">
        <v>1531</v>
      </c>
      <c r="L363" s="124" t="s">
        <v>1175</v>
      </c>
      <c r="M363" s="125" t="s">
        <v>183</v>
      </c>
      <c r="N363" s="126">
        <f t="shared" ref="N363:N375" si="47">SUM(O363:BO363)</f>
        <v>157</v>
      </c>
      <c r="O363" s="127">
        <v>157</v>
      </c>
      <c r="P363" s="127"/>
      <c r="Q363" s="127"/>
      <c r="R363" s="127"/>
      <c r="S363" s="127"/>
      <c r="T363" s="127">
        <v>0</v>
      </c>
      <c r="U363" s="127"/>
      <c r="V363" s="127"/>
      <c r="W363" s="127"/>
      <c r="X363" s="127">
        <v>0</v>
      </c>
      <c r="Y363" s="127"/>
      <c r="Z363" s="127"/>
      <c r="AA363" s="127"/>
      <c r="AB363" s="127">
        <v>0</v>
      </c>
      <c r="AC363" s="127"/>
      <c r="AD363" s="127"/>
      <c r="AE363" s="127"/>
      <c r="AF363" s="127"/>
      <c r="AG363" s="127">
        <v>0</v>
      </c>
      <c r="AH363" s="127"/>
      <c r="AI363" s="127"/>
      <c r="AJ363" s="127"/>
      <c r="AK363" s="127">
        <v>0</v>
      </c>
      <c r="AL363" s="127"/>
      <c r="AM363" s="127"/>
      <c r="AN363" s="127"/>
      <c r="AO363" s="127">
        <v>0</v>
      </c>
      <c r="AP363" s="127"/>
      <c r="AQ363" s="127"/>
      <c r="AR363" s="127"/>
      <c r="AS363" s="127"/>
      <c r="AT363" s="127">
        <v>0</v>
      </c>
      <c r="AU363" s="127"/>
      <c r="AV363" s="127"/>
      <c r="AW363" s="127"/>
      <c r="AX363" s="127">
        <v>0</v>
      </c>
      <c r="AY363" s="127"/>
      <c r="AZ363" s="127"/>
      <c r="BA363" s="127"/>
      <c r="BB363" s="127">
        <v>0</v>
      </c>
      <c r="BC363" s="127"/>
      <c r="BD363" s="127"/>
      <c r="BE363" s="127"/>
      <c r="BF363" s="127"/>
      <c r="BG363" s="127">
        <v>0</v>
      </c>
      <c r="BH363" s="127"/>
      <c r="BI363" s="127"/>
      <c r="BJ363" s="127"/>
      <c r="BK363" s="127">
        <v>0</v>
      </c>
      <c r="BL363" s="127"/>
      <c r="BM363" s="127"/>
      <c r="BN363" s="127"/>
      <c r="BO363" s="127"/>
      <c r="BP363" s="127" t="s">
        <v>1532</v>
      </c>
      <c r="BQ363" s="127" t="s">
        <v>786</v>
      </c>
      <c r="BR363" s="127" t="s">
        <v>1533</v>
      </c>
      <c r="BS363" s="127" t="s">
        <v>1534</v>
      </c>
      <c r="BT363" s="127" t="s">
        <v>188</v>
      </c>
      <c r="BU363" s="127" t="s">
        <v>189</v>
      </c>
      <c r="BV363" s="127" t="s">
        <v>1327</v>
      </c>
      <c r="BW363" s="127" t="s">
        <v>343</v>
      </c>
      <c r="BX363" s="127" t="s">
        <v>189</v>
      </c>
      <c r="BY363" s="127" t="s">
        <v>189</v>
      </c>
      <c r="BZ363" s="128" t="s">
        <v>1535</v>
      </c>
    </row>
    <row r="364" spans="2:78" s="121" customFormat="1" outlineLevel="2">
      <c r="B364" s="121" t="s">
        <v>1426</v>
      </c>
      <c r="C364" s="121" t="s">
        <v>1529</v>
      </c>
      <c r="D364" s="145" t="s">
        <v>198</v>
      </c>
      <c r="F364" s="149" t="s">
        <v>178</v>
      </c>
      <c r="H364" s="124" t="s">
        <v>1536</v>
      </c>
      <c r="I364" s="124"/>
      <c r="J364" s="124"/>
      <c r="K364" s="124" t="s">
        <v>1537</v>
      </c>
      <c r="L364" s="124" t="s">
        <v>1175</v>
      </c>
      <c r="M364" s="125" t="s">
        <v>183</v>
      </c>
      <c r="N364" s="126">
        <f t="shared" si="47"/>
        <v>500</v>
      </c>
      <c r="O364" s="127"/>
      <c r="P364" s="127"/>
      <c r="Q364" s="127"/>
      <c r="R364" s="127"/>
      <c r="S364" s="127"/>
      <c r="T364" s="127">
        <v>0</v>
      </c>
      <c r="U364" s="127"/>
      <c r="V364" s="127"/>
      <c r="W364" s="127"/>
      <c r="X364" s="127">
        <v>0</v>
      </c>
      <c r="Y364" s="127"/>
      <c r="Z364" s="127"/>
      <c r="AA364" s="127"/>
      <c r="AB364" s="127">
        <v>0</v>
      </c>
      <c r="AC364" s="127"/>
      <c r="AD364" s="127"/>
      <c r="AE364" s="127"/>
      <c r="AF364" s="127"/>
      <c r="AG364" s="127">
        <v>0</v>
      </c>
      <c r="AH364" s="127"/>
      <c r="AI364" s="127"/>
      <c r="AJ364" s="127"/>
      <c r="AK364" s="127">
        <v>500</v>
      </c>
      <c r="AL364" s="127"/>
      <c r="AM364" s="127"/>
      <c r="AN364" s="127"/>
      <c r="AO364" s="127">
        <v>0</v>
      </c>
      <c r="AP364" s="127"/>
      <c r="AQ364" s="127"/>
      <c r="AR364" s="127"/>
      <c r="AS364" s="127"/>
      <c r="AT364" s="127">
        <v>0</v>
      </c>
      <c r="AU364" s="127"/>
      <c r="AV364" s="127"/>
      <c r="AW364" s="127"/>
      <c r="AX364" s="127">
        <v>0</v>
      </c>
      <c r="AY364" s="127"/>
      <c r="AZ364" s="127"/>
      <c r="BA364" s="127"/>
      <c r="BB364" s="127">
        <v>0</v>
      </c>
      <c r="BC364" s="127"/>
      <c r="BD364" s="127"/>
      <c r="BE364" s="127"/>
      <c r="BF364" s="127"/>
      <c r="BG364" s="127">
        <v>0</v>
      </c>
      <c r="BH364" s="127"/>
      <c r="BI364" s="127"/>
      <c r="BJ364" s="127"/>
      <c r="BK364" s="127">
        <v>0</v>
      </c>
      <c r="BL364" s="127"/>
      <c r="BM364" s="127"/>
      <c r="BN364" s="127"/>
      <c r="BO364" s="127"/>
      <c r="BP364" s="127" t="s">
        <v>1538</v>
      </c>
      <c r="BQ364" s="127" t="s">
        <v>786</v>
      </c>
      <c r="BR364" s="127" t="s">
        <v>1539</v>
      </c>
      <c r="BS364" s="127" t="s">
        <v>1540</v>
      </c>
      <c r="BT364" s="127" t="s">
        <v>303</v>
      </c>
      <c r="BU364" s="127" t="s">
        <v>189</v>
      </c>
      <c r="BV364" s="127" t="s">
        <v>229</v>
      </c>
      <c r="BW364" s="127" t="s">
        <v>343</v>
      </c>
      <c r="BX364" s="127" t="s">
        <v>702</v>
      </c>
      <c r="BY364" s="127" t="s">
        <v>1541</v>
      </c>
      <c r="BZ364" s="127" t="s">
        <v>1542</v>
      </c>
    </row>
    <row r="365" spans="2:78" s="121" customFormat="1" outlineLevel="2">
      <c r="B365" s="121" t="s">
        <v>1426</v>
      </c>
      <c r="C365" s="121" t="s">
        <v>1529</v>
      </c>
      <c r="D365" s="145" t="s">
        <v>198</v>
      </c>
      <c r="F365" s="149" t="s">
        <v>178</v>
      </c>
      <c r="H365" s="122" t="s">
        <v>1543</v>
      </c>
      <c r="I365" s="124"/>
      <c r="J365" s="124"/>
      <c r="K365" s="124" t="s">
        <v>1544</v>
      </c>
      <c r="L365" s="124" t="s">
        <v>1175</v>
      </c>
      <c r="M365" s="125" t="s">
        <v>183</v>
      </c>
      <c r="N365" s="126">
        <f t="shared" si="47"/>
        <v>2066</v>
      </c>
      <c r="O365" s="127">
        <v>2066</v>
      </c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27"/>
      <c r="AF365" s="127"/>
      <c r="AG365" s="127"/>
      <c r="AH365" s="127"/>
      <c r="AI365" s="127"/>
      <c r="AJ365" s="127"/>
      <c r="AK365" s="127"/>
      <c r="AL365" s="127"/>
      <c r="AM365" s="127"/>
      <c r="AN365" s="127"/>
      <c r="AO365" s="127"/>
      <c r="AP365" s="127"/>
      <c r="AQ365" s="127"/>
      <c r="AR365" s="127"/>
      <c r="AS365" s="127"/>
      <c r="AT365" s="127"/>
      <c r="AU365" s="127"/>
      <c r="AV365" s="127"/>
      <c r="AW365" s="127"/>
      <c r="AX365" s="127"/>
      <c r="AY365" s="127"/>
      <c r="AZ365" s="127"/>
      <c r="BA365" s="127"/>
      <c r="BB365" s="127"/>
      <c r="BC365" s="127"/>
      <c r="BD365" s="127"/>
      <c r="BE365" s="127"/>
      <c r="BF365" s="127"/>
      <c r="BG365" s="127"/>
      <c r="BH365" s="127"/>
      <c r="BI365" s="127"/>
      <c r="BJ365" s="127"/>
      <c r="BK365" s="127"/>
      <c r="BL365" s="127"/>
      <c r="BM365" s="127"/>
      <c r="BN365" s="127"/>
      <c r="BO365" s="127"/>
      <c r="BP365" s="127" t="s">
        <v>1545</v>
      </c>
      <c r="BQ365" s="127" t="s">
        <v>786</v>
      </c>
      <c r="BR365" s="127" t="s">
        <v>1546</v>
      </c>
      <c r="BS365" s="127" t="s">
        <v>1547</v>
      </c>
      <c r="BT365" s="127" t="s">
        <v>188</v>
      </c>
      <c r="BU365" s="127" t="s">
        <v>189</v>
      </c>
      <c r="BV365" s="127" t="s">
        <v>395</v>
      </c>
      <c r="BW365" s="127" t="s">
        <v>343</v>
      </c>
      <c r="BX365" s="127"/>
      <c r="BY365" s="127"/>
      <c r="BZ365" s="127"/>
    </row>
    <row r="366" spans="2:78" s="121" customFormat="1" outlineLevel="2">
      <c r="B366" s="121" t="s">
        <v>1426</v>
      </c>
      <c r="C366" s="121" t="s">
        <v>1529</v>
      </c>
      <c r="D366" s="145" t="s">
        <v>198</v>
      </c>
      <c r="F366" s="149" t="s">
        <v>178</v>
      </c>
      <c r="H366" s="124" t="s">
        <v>1548</v>
      </c>
      <c r="I366" s="124"/>
      <c r="J366" s="124"/>
      <c r="K366" s="124" t="s">
        <v>1344</v>
      </c>
      <c r="L366" s="124" t="s">
        <v>1175</v>
      </c>
      <c r="M366" s="125" t="s">
        <v>183</v>
      </c>
      <c r="N366" s="126">
        <f t="shared" si="47"/>
        <v>2650</v>
      </c>
      <c r="O366" s="127">
        <v>0</v>
      </c>
      <c r="P366" s="127"/>
      <c r="Q366" s="127"/>
      <c r="R366" s="127"/>
      <c r="S366" s="127"/>
      <c r="T366" s="127">
        <v>0</v>
      </c>
      <c r="U366" s="127"/>
      <c r="V366" s="127"/>
      <c r="W366" s="127"/>
      <c r="X366" s="127">
        <v>0</v>
      </c>
      <c r="Y366" s="127"/>
      <c r="Z366" s="127"/>
      <c r="AA366" s="127"/>
      <c r="AB366" s="127">
        <v>0</v>
      </c>
      <c r="AC366" s="127"/>
      <c r="AD366" s="127"/>
      <c r="AE366" s="127"/>
      <c r="AF366" s="127"/>
      <c r="AG366" s="127">
        <v>0</v>
      </c>
      <c r="AH366" s="127"/>
      <c r="AI366" s="127"/>
      <c r="AJ366" s="127"/>
      <c r="AK366" s="127">
        <v>0</v>
      </c>
      <c r="AL366" s="127"/>
      <c r="AM366" s="127"/>
      <c r="AN366" s="127"/>
      <c r="AO366" s="127">
        <v>0</v>
      </c>
      <c r="AP366" s="127"/>
      <c r="AQ366" s="127"/>
      <c r="AR366" s="127"/>
      <c r="AS366" s="127"/>
      <c r="AT366" s="127">
        <v>2650</v>
      </c>
      <c r="AU366" s="127"/>
      <c r="AV366" s="127"/>
      <c r="AW366" s="127"/>
      <c r="AX366" s="127"/>
      <c r="AY366" s="127"/>
      <c r="AZ366" s="127"/>
      <c r="BA366" s="127"/>
      <c r="BB366" s="127">
        <v>0</v>
      </c>
      <c r="BC366" s="127"/>
      <c r="BD366" s="127"/>
      <c r="BE366" s="127"/>
      <c r="BF366" s="127"/>
      <c r="BG366" s="127">
        <v>0</v>
      </c>
      <c r="BH366" s="127"/>
      <c r="BI366" s="127"/>
      <c r="BJ366" s="127"/>
      <c r="BK366" s="127">
        <v>0</v>
      </c>
      <c r="BL366" s="127"/>
      <c r="BM366" s="127"/>
      <c r="BN366" s="127"/>
      <c r="BO366" s="127"/>
      <c r="BP366" s="127" t="s">
        <v>1549</v>
      </c>
      <c r="BQ366" s="127" t="s">
        <v>786</v>
      </c>
      <c r="BR366" s="127" t="s">
        <v>1550</v>
      </c>
      <c r="BS366" s="127" t="s">
        <v>1551</v>
      </c>
      <c r="BT366" s="127" t="s">
        <v>188</v>
      </c>
      <c r="BU366" s="127" t="s">
        <v>189</v>
      </c>
      <c r="BV366" s="127" t="s">
        <v>205</v>
      </c>
      <c r="BW366" s="127" t="s">
        <v>191</v>
      </c>
      <c r="BX366" s="127" t="s">
        <v>639</v>
      </c>
      <c r="BY366" s="127" t="s">
        <v>189</v>
      </c>
      <c r="BZ366" s="127" t="s">
        <v>189</v>
      </c>
    </row>
    <row r="367" spans="2:78" s="121" customFormat="1" outlineLevel="2">
      <c r="B367" s="121" t="s">
        <v>1426</v>
      </c>
      <c r="C367" s="121" t="s">
        <v>1529</v>
      </c>
      <c r="D367" s="145" t="s">
        <v>198</v>
      </c>
      <c r="F367" s="149" t="s">
        <v>178</v>
      </c>
      <c r="H367" s="122" t="s">
        <v>1552</v>
      </c>
      <c r="I367" s="124"/>
      <c r="J367" s="124"/>
      <c r="K367" s="124" t="s">
        <v>1344</v>
      </c>
      <c r="L367" s="124" t="s">
        <v>1175</v>
      </c>
      <c r="M367" s="125" t="s">
        <v>183</v>
      </c>
      <c r="N367" s="126">
        <f t="shared" si="47"/>
        <v>1660</v>
      </c>
      <c r="O367" s="127">
        <v>0</v>
      </c>
      <c r="P367" s="127"/>
      <c r="Q367" s="127"/>
      <c r="R367" s="127"/>
      <c r="S367" s="127"/>
      <c r="T367" s="127">
        <v>0</v>
      </c>
      <c r="U367" s="127"/>
      <c r="V367" s="127"/>
      <c r="W367" s="127"/>
      <c r="X367" s="127">
        <v>0</v>
      </c>
      <c r="Y367" s="127"/>
      <c r="Z367" s="127"/>
      <c r="AA367" s="127"/>
      <c r="AB367" s="127">
        <v>0</v>
      </c>
      <c r="AC367" s="127"/>
      <c r="AD367" s="127"/>
      <c r="AE367" s="127"/>
      <c r="AF367" s="127"/>
      <c r="AG367" s="127">
        <v>1660</v>
      </c>
      <c r="AH367" s="127"/>
      <c r="AI367" s="127"/>
      <c r="AJ367" s="127"/>
      <c r="AK367" s="127"/>
      <c r="AL367" s="127"/>
      <c r="AM367" s="127"/>
      <c r="AN367" s="127"/>
      <c r="AO367" s="127">
        <v>0</v>
      </c>
      <c r="AP367" s="127"/>
      <c r="AQ367" s="127"/>
      <c r="AR367" s="127"/>
      <c r="AS367" s="127"/>
      <c r="AT367" s="127">
        <v>0</v>
      </c>
      <c r="AU367" s="127"/>
      <c r="AV367" s="127"/>
      <c r="AW367" s="127"/>
      <c r="AX367" s="127">
        <v>0</v>
      </c>
      <c r="AY367" s="127"/>
      <c r="AZ367" s="127"/>
      <c r="BA367" s="127"/>
      <c r="BB367" s="127">
        <v>0</v>
      </c>
      <c r="BC367" s="127"/>
      <c r="BD367" s="127"/>
      <c r="BE367" s="127"/>
      <c r="BF367" s="127"/>
      <c r="BG367" s="127">
        <v>0</v>
      </c>
      <c r="BH367" s="127"/>
      <c r="BI367" s="127"/>
      <c r="BJ367" s="127"/>
      <c r="BK367" s="127">
        <v>0</v>
      </c>
      <c r="BL367" s="127"/>
      <c r="BM367" s="127"/>
      <c r="BN367" s="127"/>
      <c r="BO367" s="127"/>
      <c r="BP367" s="127" t="s">
        <v>1553</v>
      </c>
      <c r="BQ367" s="127" t="s">
        <v>786</v>
      </c>
      <c r="BR367" s="127" t="s">
        <v>1554</v>
      </c>
      <c r="BS367" s="127" t="s">
        <v>1555</v>
      </c>
      <c r="BT367" s="127" t="s">
        <v>188</v>
      </c>
      <c r="BU367" s="127" t="s">
        <v>189</v>
      </c>
      <c r="BV367" s="127" t="s">
        <v>304</v>
      </c>
      <c r="BW367" s="127" t="s">
        <v>343</v>
      </c>
      <c r="BX367" s="127" t="s">
        <v>596</v>
      </c>
      <c r="BY367" s="127" t="s">
        <v>189</v>
      </c>
      <c r="BZ367" s="131" t="s">
        <v>1189</v>
      </c>
    </row>
    <row r="368" spans="2:78" s="121" customFormat="1" outlineLevel="2">
      <c r="B368" s="121" t="s">
        <v>1426</v>
      </c>
      <c r="C368" s="121" t="s">
        <v>1529</v>
      </c>
      <c r="D368" s="145" t="s">
        <v>198</v>
      </c>
      <c r="F368" s="149" t="s">
        <v>178</v>
      </c>
      <c r="H368" s="124" t="s">
        <v>1556</v>
      </c>
      <c r="I368" s="124"/>
      <c r="J368" s="124"/>
      <c r="K368" s="124" t="s">
        <v>1557</v>
      </c>
      <c r="L368" s="124" t="s">
        <v>1175</v>
      </c>
      <c r="M368" s="125" t="s">
        <v>183</v>
      </c>
      <c r="N368" s="126">
        <f>SUM(O368:BO368)</f>
        <v>3902</v>
      </c>
      <c r="O368" s="127">
        <v>0</v>
      </c>
      <c r="P368" s="127"/>
      <c r="Q368" s="127"/>
      <c r="R368" s="127"/>
      <c r="S368" s="127"/>
      <c r="T368" s="127">
        <v>0</v>
      </c>
      <c r="U368" s="127"/>
      <c r="V368" s="127"/>
      <c r="W368" s="127"/>
      <c r="X368" s="127">
        <v>0</v>
      </c>
      <c r="Y368" s="127"/>
      <c r="Z368" s="127"/>
      <c r="AA368" s="127"/>
      <c r="AB368" s="127">
        <v>0</v>
      </c>
      <c r="AC368" s="127"/>
      <c r="AD368" s="127"/>
      <c r="AE368" s="127"/>
      <c r="AF368" s="127"/>
      <c r="AG368" s="127">
        <v>0</v>
      </c>
      <c r="AH368" s="127"/>
      <c r="AI368" s="127"/>
      <c r="AJ368" s="127"/>
      <c r="AK368" s="127">
        <v>0</v>
      </c>
      <c r="AL368" s="127"/>
      <c r="AM368" s="127"/>
      <c r="AN368" s="127"/>
      <c r="AO368" s="127">
        <v>0</v>
      </c>
      <c r="AP368" s="127"/>
      <c r="AQ368" s="127"/>
      <c r="AR368" s="127"/>
      <c r="AS368" s="127"/>
      <c r="AT368" s="127">
        <v>0</v>
      </c>
      <c r="AU368" s="127"/>
      <c r="AV368" s="127"/>
      <c r="AW368" s="127"/>
      <c r="AX368" s="127">
        <v>0</v>
      </c>
      <c r="AY368" s="127"/>
      <c r="AZ368" s="127"/>
      <c r="BA368" s="127"/>
      <c r="BB368" s="127">
        <v>3902</v>
      </c>
      <c r="BC368" s="127"/>
      <c r="BD368" s="127"/>
      <c r="BE368" s="127"/>
      <c r="BF368" s="127"/>
      <c r="BG368" s="127">
        <v>0</v>
      </c>
      <c r="BH368" s="127"/>
      <c r="BI368" s="127"/>
      <c r="BJ368" s="127"/>
      <c r="BK368" s="127">
        <v>0</v>
      </c>
      <c r="BL368" s="127"/>
      <c r="BM368" s="127"/>
      <c r="BN368" s="127"/>
      <c r="BO368" s="127"/>
      <c r="BP368" s="127" t="s">
        <v>1558</v>
      </c>
      <c r="BQ368" s="127" t="s">
        <v>1559</v>
      </c>
      <c r="BR368" s="127" t="s">
        <v>1560</v>
      </c>
      <c r="BS368" s="127" t="s">
        <v>1561</v>
      </c>
      <c r="BT368" s="127" t="s">
        <v>188</v>
      </c>
      <c r="BU368" s="127" t="s">
        <v>189</v>
      </c>
      <c r="BV368" s="127" t="s">
        <v>205</v>
      </c>
      <c r="BW368" s="127" t="s">
        <v>191</v>
      </c>
      <c r="BX368" s="127" t="s">
        <v>189</v>
      </c>
      <c r="BY368" s="127" t="s">
        <v>189</v>
      </c>
      <c r="BZ368" s="127" t="s">
        <v>1202</v>
      </c>
    </row>
    <row r="369" spans="2:78" s="121" customFormat="1" outlineLevel="2">
      <c r="B369" s="121" t="s">
        <v>1426</v>
      </c>
      <c r="C369" s="121" t="s">
        <v>1529</v>
      </c>
      <c r="D369" s="145" t="s">
        <v>198</v>
      </c>
      <c r="F369" s="149" t="s">
        <v>178</v>
      </c>
      <c r="H369" s="122" t="s">
        <v>1562</v>
      </c>
      <c r="I369" s="124"/>
      <c r="J369" s="124"/>
      <c r="K369" s="124" t="s">
        <v>189</v>
      </c>
      <c r="L369" s="124" t="s">
        <v>1175</v>
      </c>
      <c r="M369" s="125" t="s">
        <v>183</v>
      </c>
      <c r="N369" s="126">
        <f>SUM(O369:BO369)</f>
        <v>4500</v>
      </c>
      <c r="O369" s="127">
        <v>0</v>
      </c>
      <c r="P369" s="127"/>
      <c r="Q369" s="127"/>
      <c r="R369" s="127"/>
      <c r="S369" s="127"/>
      <c r="T369" s="127">
        <v>0</v>
      </c>
      <c r="U369" s="127"/>
      <c r="V369" s="127"/>
      <c r="W369" s="127"/>
      <c r="X369" s="127"/>
      <c r="Y369" s="127"/>
      <c r="Z369" s="127">
        <v>1200</v>
      </c>
      <c r="AA369" s="127"/>
      <c r="AB369" s="127">
        <v>1200</v>
      </c>
      <c r="AC369" s="127"/>
      <c r="AD369" s="127">
        <v>1100</v>
      </c>
      <c r="AE369" s="127"/>
      <c r="AF369" s="127">
        <v>1000</v>
      </c>
      <c r="AG369" s="127">
        <v>0</v>
      </c>
      <c r="AH369" s="127"/>
      <c r="AI369" s="127"/>
      <c r="AJ369" s="127"/>
      <c r="AK369" s="127">
        <v>0</v>
      </c>
      <c r="AL369" s="127"/>
      <c r="AM369" s="127"/>
      <c r="AN369" s="127"/>
      <c r="AO369" s="127">
        <v>0</v>
      </c>
      <c r="AP369" s="127"/>
      <c r="AQ369" s="127"/>
      <c r="AR369" s="127"/>
      <c r="AS369" s="127"/>
      <c r="AT369" s="127">
        <v>0</v>
      </c>
      <c r="AU369" s="127"/>
      <c r="AV369" s="127"/>
      <c r="AW369" s="127"/>
      <c r="AX369" s="127">
        <v>0</v>
      </c>
      <c r="AY369" s="127"/>
      <c r="AZ369" s="127"/>
      <c r="BA369" s="127"/>
      <c r="BB369" s="127">
        <v>0</v>
      </c>
      <c r="BC369" s="127"/>
      <c r="BD369" s="127"/>
      <c r="BE369" s="127"/>
      <c r="BF369" s="127"/>
      <c r="BG369" s="127">
        <v>0</v>
      </c>
      <c r="BH369" s="127"/>
      <c r="BI369" s="127"/>
      <c r="BJ369" s="127"/>
      <c r="BK369" s="127">
        <v>0</v>
      </c>
      <c r="BL369" s="127"/>
      <c r="BM369" s="127"/>
      <c r="BN369" s="127"/>
      <c r="BO369" s="127"/>
      <c r="BP369" s="127" t="s">
        <v>1563</v>
      </c>
      <c r="BQ369" s="127" t="s">
        <v>915</v>
      </c>
      <c r="BR369" s="127" t="s">
        <v>651</v>
      </c>
      <c r="BS369" s="127" t="s">
        <v>1564</v>
      </c>
      <c r="BT369" s="127" t="s">
        <v>188</v>
      </c>
      <c r="BU369" s="127" t="s">
        <v>189</v>
      </c>
      <c r="BV369" s="127" t="s">
        <v>188</v>
      </c>
      <c r="BW369" s="127" t="s">
        <v>343</v>
      </c>
      <c r="BX369" s="127" t="s">
        <v>500</v>
      </c>
      <c r="BY369" s="127" t="s">
        <v>1565</v>
      </c>
      <c r="BZ369" s="131" t="s">
        <v>1189</v>
      </c>
    </row>
    <row r="370" spans="2:78" s="121" customFormat="1" outlineLevel="2">
      <c r="B370" s="121" t="s">
        <v>1426</v>
      </c>
      <c r="C370" s="121" t="s">
        <v>1529</v>
      </c>
      <c r="D370" s="145" t="s">
        <v>198</v>
      </c>
      <c r="F370" s="149" t="s">
        <v>178</v>
      </c>
      <c r="H370" s="124" t="s">
        <v>1566</v>
      </c>
      <c r="I370" s="124"/>
      <c r="J370" s="124"/>
      <c r="K370" s="124" t="s">
        <v>1567</v>
      </c>
      <c r="L370" s="124" t="s">
        <v>1175</v>
      </c>
      <c r="M370" s="125" t="s">
        <v>183</v>
      </c>
      <c r="N370" s="126">
        <f>SUM(O370:BO370)</f>
        <v>4330</v>
      </c>
      <c r="O370" s="127"/>
      <c r="P370" s="127"/>
      <c r="Q370" s="127"/>
      <c r="R370" s="127"/>
      <c r="S370" s="127"/>
      <c r="T370" s="127">
        <v>0</v>
      </c>
      <c r="U370" s="127"/>
      <c r="V370" s="127"/>
      <c r="W370" s="127"/>
      <c r="X370" s="127">
        <v>0</v>
      </c>
      <c r="Y370" s="127"/>
      <c r="Z370" s="127"/>
      <c r="AA370" s="127"/>
      <c r="AB370" s="127">
        <v>0</v>
      </c>
      <c r="AC370" s="127"/>
      <c r="AD370" s="127"/>
      <c r="AE370" s="127"/>
      <c r="AF370" s="127"/>
      <c r="AG370" s="127">
        <v>4330</v>
      </c>
      <c r="AH370" s="127"/>
      <c r="AI370" s="127"/>
      <c r="AJ370" s="127"/>
      <c r="AK370" s="127">
        <v>0</v>
      </c>
      <c r="AL370" s="127"/>
      <c r="AM370" s="127"/>
      <c r="AN370" s="127"/>
      <c r="AO370" s="127">
        <v>0</v>
      </c>
      <c r="AP370" s="127"/>
      <c r="AQ370" s="127"/>
      <c r="AR370" s="127"/>
      <c r="AS370" s="127"/>
      <c r="AT370" s="127">
        <v>0</v>
      </c>
      <c r="AU370" s="127"/>
      <c r="AV370" s="127"/>
      <c r="AW370" s="127"/>
      <c r="AX370" s="127">
        <v>0</v>
      </c>
      <c r="AY370" s="127"/>
      <c r="AZ370" s="127"/>
      <c r="BA370" s="127"/>
      <c r="BB370" s="127">
        <v>0</v>
      </c>
      <c r="BC370" s="127"/>
      <c r="BD370" s="127"/>
      <c r="BE370" s="127"/>
      <c r="BF370" s="127"/>
      <c r="BG370" s="127">
        <v>0</v>
      </c>
      <c r="BH370" s="127"/>
      <c r="BI370" s="127"/>
      <c r="BJ370" s="127"/>
      <c r="BK370" s="127">
        <v>0</v>
      </c>
      <c r="BL370" s="127"/>
      <c r="BM370" s="127"/>
      <c r="BN370" s="127"/>
      <c r="BO370" s="127"/>
      <c r="BP370" s="127" t="s">
        <v>1568</v>
      </c>
      <c r="BQ370" s="127" t="s">
        <v>1559</v>
      </c>
      <c r="BR370" s="127" t="s">
        <v>1569</v>
      </c>
      <c r="BS370" s="127" t="s">
        <v>1570</v>
      </c>
      <c r="BT370" s="127" t="s">
        <v>188</v>
      </c>
      <c r="BU370" s="127" t="s">
        <v>189</v>
      </c>
      <c r="BV370" s="127" t="s">
        <v>395</v>
      </c>
      <c r="BW370" s="127" t="s">
        <v>191</v>
      </c>
      <c r="BX370" s="127" t="s">
        <v>189</v>
      </c>
      <c r="BY370" s="127" t="s">
        <v>189</v>
      </c>
      <c r="BZ370" s="127" t="s">
        <v>189</v>
      </c>
    </row>
    <row r="371" spans="2:78" s="121" customFormat="1" outlineLevel="2">
      <c r="B371" s="121" t="s">
        <v>1426</v>
      </c>
      <c r="C371" s="121" t="s">
        <v>1529</v>
      </c>
      <c r="D371" s="145" t="s">
        <v>198</v>
      </c>
      <c r="F371" s="149" t="s">
        <v>178</v>
      </c>
      <c r="H371" s="124" t="s">
        <v>1571</v>
      </c>
      <c r="I371" s="124"/>
      <c r="J371" s="124"/>
      <c r="K371" s="124" t="s">
        <v>1572</v>
      </c>
      <c r="L371" s="124" t="s">
        <v>1175</v>
      </c>
      <c r="M371" s="125" t="s">
        <v>183</v>
      </c>
      <c r="N371" s="126">
        <f t="shared" si="47"/>
        <v>1602</v>
      </c>
      <c r="O371" s="127">
        <v>1602</v>
      </c>
      <c r="P371" s="127"/>
      <c r="Q371" s="127"/>
      <c r="R371" s="127"/>
      <c r="S371" s="127"/>
      <c r="T371" s="127">
        <v>0</v>
      </c>
      <c r="U371" s="127"/>
      <c r="V371" s="127"/>
      <c r="W371" s="127"/>
      <c r="X371" s="127">
        <v>0</v>
      </c>
      <c r="Y371" s="127"/>
      <c r="Z371" s="127"/>
      <c r="AA371" s="127"/>
      <c r="AB371" s="127">
        <v>0</v>
      </c>
      <c r="AC371" s="127"/>
      <c r="AD371" s="127"/>
      <c r="AE371" s="127"/>
      <c r="AF371" s="127"/>
      <c r="AG371" s="127">
        <v>0</v>
      </c>
      <c r="AH371" s="127"/>
      <c r="AI371" s="127"/>
      <c r="AJ371" s="127"/>
      <c r="AK371" s="127">
        <v>0</v>
      </c>
      <c r="AL371" s="127"/>
      <c r="AM371" s="127"/>
      <c r="AN371" s="127"/>
      <c r="AO371" s="127">
        <v>0</v>
      </c>
      <c r="AP371" s="127"/>
      <c r="AQ371" s="127"/>
      <c r="AR371" s="127"/>
      <c r="AS371" s="127"/>
      <c r="AT371" s="127">
        <v>0</v>
      </c>
      <c r="AU371" s="127"/>
      <c r="AV371" s="127"/>
      <c r="AW371" s="127"/>
      <c r="AX371" s="127">
        <v>0</v>
      </c>
      <c r="AY371" s="127"/>
      <c r="AZ371" s="127"/>
      <c r="BA371" s="127"/>
      <c r="BB371" s="127">
        <v>0</v>
      </c>
      <c r="BC371" s="127"/>
      <c r="BD371" s="127"/>
      <c r="BE371" s="127"/>
      <c r="BF371" s="127"/>
      <c r="BG371" s="127">
        <v>0</v>
      </c>
      <c r="BH371" s="127"/>
      <c r="BI371" s="127"/>
      <c r="BJ371" s="127"/>
      <c r="BK371" s="127">
        <v>0</v>
      </c>
      <c r="BL371" s="127"/>
      <c r="BM371" s="127"/>
      <c r="BN371" s="127"/>
      <c r="BO371" s="127"/>
      <c r="BP371" s="127" t="s">
        <v>1573</v>
      </c>
      <c r="BQ371" s="127" t="s">
        <v>786</v>
      </c>
      <c r="BR371" s="127" t="s">
        <v>1574</v>
      </c>
      <c r="BS371" s="127" t="s">
        <v>1575</v>
      </c>
      <c r="BT371" s="127" t="s">
        <v>188</v>
      </c>
      <c r="BU371" s="127" t="s">
        <v>499</v>
      </c>
      <c r="BV371" s="127" t="s">
        <v>395</v>
      </c>
      <c r="BW371" s="127" t="s">
        <v>191</v>
      </c>
      <c r="BX371" s="127" t="s">
        <v>1576</v>
      </c>
      <c r="BY371" s="127" t="s">
        <v>1577</v>
      </c>
      <c r="BZ371" s="128" t="s">
        <v>1578</v>
      </c>
    </row>
    <row r="372" spans="2:78" s="121" customFormat="1" outlineLevel="2">
      <c r="B372" s="121" t="s">
        <v>1426</v>
      </c>
      <c r="C372" s="121" t="s">
        <v>1529</v>
      </c>
      <c r="D372" s="145" t="s">
        <v>198</v>
      </c>
      <c r="F372" s="149" t="s">
        <v>178</v>
      </c>
      <c r="H372" s="169" t="s">
        <v>1322</v>
      </c>
      <c r="J372" s="102"/>
      <c r="K372" s="149" t="s">
        <v>1323</v>
      </c>
      <c r="L372" s="124" t="s">
        <v>1175</v>
      </c>
      <c r="M372" s="125" t="s">
        <v>183</v>
      </c>
      <c r="N372" s="126">
        <f t="shared" si="47"/>
        <v>500</v>
      </c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27"/>
      <c r="AF372" s="127"/>
      <c r="AG372" s="127"/>
      <c r="AH372" s="127"/>
      <c r="AI372" s="127"/>
      <c r="AJ372" s="127"/>
      <c r="AK372" s="127"/>
      <c r="AL372" s="127"/>
      <c r="AM372" s="127"/>
      <c r="AN372" s="127"/>
      <c r="AO372" s="127"/>
      <c r="AP372" s="127"/>
      <c r="AQ372" s="127"/>
      <c r="AR372" s="127"/>
      <c r="AS372" s="127"/>
      <c r="AT372" s="127"/>
      <c r="AU372" s="127"/>
      <c r="AV372" s="127"/>
      <c r="AW372" s="127"/>
      <c r="AX372" s="127"/>
      <c r="AY372" s="127"/>
      <c r="AZ372" s="127"/>
      <c r="BA372" s="127"/>
      <c r="BB372" s="127"/>
      <c r="BC372" s="127"/>
      <c r="BD372" s="127"/>
      <c r="BE372" s="127"/>
      <c r="BF372" s="127"/>
      <c r="BG372" s="127">
        <v>500</v>
      </c>
      <c r="BH372" s="127"/>
      <c r="BI372" s="127"/>
      <c r="BJ372" s="127"/>
      <c r="BK372" s="127"/>
      <c r="BL372" s="127"/>
      <c r="BM372" s="127"/>
      <c r="BN372" s="127"/>
      <c r="BO372" s="127"/>
      <c r="BP372" s="127" t="s">
        <v>1579</v>
      </c>
      <c r="BQ372" s="127"/>
      <c r="BR372" s="127"/>
      <c r="BS372" s="127"/>
      <c r="BT372" s="127"/>
      <c r="BU372" s="127"/>
      <c r="BV372" s="127"/>
      <c r="BW372" s="127"/>
      <c r="BX372" s="127"/>
      <c r="BY372" s="127"/>
      <c r="BZ372" s="131" t="s">
        <v>1321</v>
      </c>
    </row>
    <row r="373" spans="2:78" s="121" customFormat="1" outlineLevel="2">
      <c r="B373" s="121" t="s">
        <v>1426</v>
      </c>
      <c r="C373" s="121" t="s">
        <v>1529</v>
      </c>
      <c r="D373" s="145" t="s">
        <v>198</v>
      </c>
      <c r="F373" s="149" t="s">
        <v>178</v>
      </c>
      <c r="H373" s="169" t="s">
        <v>1580</v>
      </c>
      <c r="J373" s="102"/>
      <c r="K373" s="102" t="s">
        <v>1581</v>
      </c>
      <c r="L373" s="124" t="s">
        <v>1175</v>
      </c>
      <c r="M373" s="125" t="s">
        <v>183</v>
      </c>
      <c r="N373" s="126">
        <f t="shared" si="47"/>
        <v>200</v>
      </c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27"/>
      <c r="AF373" s="127"/>
      <c r="AG373" s="127"/>
      <c r="AH373" s="127"/>
      <c r="AI373" s="127"/>
      <c r="AJ373" s="127"/>
      <c r="AK373" s="127"/>
      <c r="AL373" s="127"/>
      <c r="AM373" s="127"/>
      <c r="AN373" s="127"/>
      <c r="AO373" s="127"/>
      <c r="AP373" s="127"/>
      <c r="AQ373" s="127"/>
      <c r="AR373" s="127"/>
      <c r="AS373" s="127"/>
      <c r="AT373" s="127"/>
      <c r="AU373" s="127"/>
      <c r="AV373" s="127"/>
      <c r="AW373" s="127"/>
      <c r="AX373" s="127">
        <v>200</v>
      </c>
      <c r="AY373" s="127"/>
      <c r="AZ373" s="127"/>
      <c r="BA373" s="127"/>
      <c r="BB373" s="127"/>
      <c r="BC373" s="127"/>
      <c r="BD373" s="127"/>
      <c r="BE373" s="127"/>
      <c r="BF373" s="127"/>
      <c r="BG373" s="127"/>
      <c r="BH373" s="127"/>
      <c r="BI373" s="127"/>
      <c r="BJ373" s="127"/>
      <c r="BK373" s="127"/>
      <c r="BL373" s="127"/>
      <c r="BM373" s="127"/>
      <c r="BN373" s="127"/>
      <c r="BO373" s="127"/>
      <c r="BP373" s="127" t="s">
        <v>1582</v>
      </c>
      <c r="BQ373" s="127"/>
      <c r="BR373" s="127"/>
      <c r="BS373" s="127"/>
      <c r="BT373" s="127"/>
      <c r="BU373" s="127"/>
      <c r="BV373" s="127"/>
      <c r="BW373" s="127"/>
      <c r="BX373" s="127"/>
      <c r="BY373" s="127"/>
      <c r="BZ373" s="131" t="s">
        <v>1321</v>
      </c>
    </row>
    <row r="374" spans="2:78" s="121" customFormat="1" outlineLevel="2">
      <c r="B374" s="121" t="s">
        <v>1426</v>
      </c>
      <c r="C374" s="121" t="s">
        <v>1529</v>
      </c>
      <c r="D374" s="145" t="s">
        <v>198</v>
      </c>
      <c r="F374" s="149" t="s">
        <v>178</v>
      </c>
      <c r="G374" s="107" t="s">
        <v>199</v>
      </c>
      <c r="H374" s="122" t="s">
        <v>1203</v>
      </c>
      <c r="I374" s="124"/>
      <c r="J374" s="124"/>
      <c r="K374" s="124" t="s">
        <v>1204</v>
      </c>
      <c r="L374" s="124" t="s">
        <v>1175</v>
      </c>
      <c r="M374" s="125" t="s">
        <v>183</v>
      </c>
      <c r="N374" s="126">
        <f>SUM(O374:BO374)</f>
        <v>200</v>
      </c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30">
        <v>200</v>
      </c>
      <c r="AD374" s="127"/>
      <c r="AE374" s="127"/>
      <c r="AF374" s="127"/>
      <c r="AG374" s="127"/>
      <c r="AH374" s="127"/>
      <c r="AI374" s="127"/>
      <c r="AJ374" s="127"/>
      <c r="AK374" s="127"/>
      <c r="AL374" s="127"/>
      <c r="AM374" s="127"/>
      <c r="AN374" s="127"/>
      <c r="AO374" s="127"/>
      <c r="AP374" s="127"/>
      <c r="AQ374" s="127"/>
      <c r="AR374" s="127"/>
      <c r="AS374" s="127"/>
      <c r="AT374" s="127"/>
      <c r="AU374" s="127"/>
      <c r="AV374" s="127"/>
      <c r="AW374" s="127"/>
      <c r="AX374" s="127"/>
      <c r="AY374" s="127"/>
      <c r="AZ374" s="127"/>
      <c r="BA374" s="127"/>
      <c r="BB374" s="127"/>
      <c r="BC374" s="127"/>
      <c r="BD374" s="127"/>
      <c r="BE374" s="127"/>
      <c r="BF374" s="127"/>
      <c r="BG374" s="127"/>
      <c r="BH374" s="127"/>
      <c r="BI374" s="127"/>
      <c r="BJ374" s="127"/>
      <c r="BK374" s="127"/>
      <c r="BL374" s="127"/>
      <c r="BM374" s="127"/>
      <c r="BN374" s="127"/>
      <c r="BO374" s="127"/>
      <c r="BP374" s="127"/>
      <c r="BQ374" s="127"/>
      <c r="BR374" s="127"/>
      <c r="BS374" s="127"/>
      <c r="BT374" s="127"/>
      <c r="BU374" s="127"/>
      <c r="BV374" s="127"/>
      <c r="BW374" s="127"/>
      <c r="BX374" s="127"/>
      <c r="BY374" s="127"/>
      <c r="BZ374" s="127"/>
    </row>
    <row r="375" spans="2:78" ht="12.75" customHeight="1" outlineLevel="2">
      <c r="B375" s="102" t="s">
        <v>1426</v>
      </c>
      <c r="C375" s="121" t="s">
        <v>1529</v>
      </c>
      <c r="D375" s="129" t="s">
        <v>198</v>
      </c>
      <c r="E375" s="163"/>
      <c r="F375" s="149" t="s">
        <v>178</v>
      </c>
      <c r="G375" s="124"/>
      <c r="H375" s="166" t="s">
        <v>1583</v>
      </c>
      <c r="I375" s="147"/>
      <c r="J375" s="147"/>
      <c r="K375" s="147"/>
      <c r="L375" s="147" t="s">
        <v>1175</v>
      </c>
      <c r="M375" s="125" t="s">
        <v>183</v>
      </c>
      <c r="N375" s="124">
        <f t="shared" si="47"/>
        <v>22000</v>
      </c>
      <c r="O375" s="127">
        <v>3000</v>
      </c>
      <c r="P375" s="127"/>
      <c r="Q375" s="127"/>
      <c r="R375" s="127"/>
      <c r="S375" s="127"/>
      <c r="T375" s="127">
        <v>3000</v>
      </c>
      <c r="U375" s="127"/>
      <c r="V375" s="127"/>
      <c r="W375" s="127"/>
      <c r="X375" s="127">
        <v>3000</v>
      </c>
      <c r="Y375" s="127"/>
      <c r="Z375" s="127"/>
      <c r="AA375" s="127"/>
      <c r="AB375" s="127">
        <v>3000</v>
      </c>
      <c r="AC375" s="127"/>
      <c r="AD375" s="127"/>
      <c r="AE375" s="127"/>
      <c r="AF375" s="127"/>
      <c r="AG375" s="127">
        <v>3000</v>
      </c>
      <c r="AH375" s="127"/>
      <c r="AI375" s="127"/>
      <c r="AJ375" s="127"/>
      <c r="AK375" s="127"/>
      <c r="AL375" s="127"/>
      <c r="AM375" s="127"/>
      <c r="AN375" s="127"/>
      <c r="AO375" s="127"/>
      <c r="AP375" s="127"/>
      <c r="AQ375" s="127"/>
      <c r="AR375" s="127"/>
      <c r="AS375" s="127"/>
      <c r="AT375" s="127"/>
      <c r="AU375" s="127"/>
      <c r="AV375" s="127"/>
      <c r="AW375" s="127"/>
      <c r="AX375" s="127">
        <v>2400</v>
      </c>
      <c r="AY375" s="127"/>
      <c r="AZ375" s="127"/>
      <c r="BA375" s="127"/>
      <c r="BB375" s="127">
        <v>2400</v>
      </c>
      <c r="BC375" s="127"/>
      <c r="BD375" s="127"/>
      <c r="BE375" s="127"/>
      <c r="BF375" s="127"/>
      <c r="BG375" s="127">
        <v>2200</v>
      </c>
      <c r="BH375" s="127"/>
      <c r="BI375" s="127"/>
      <c r="BJ375" s="127"/>
      <c r="BK375" s="127"/>
      <c r="BL375" s="127"/>
      <c r="BM375" s="127"/>
      <c r="BN375" s="127"/>
      <c r="BO375" s="127"/>
      <c r="BP375" s="127" t="s">
        <v>1465</v>
      </c>
      <c r="BQ375" s="165"/>
      <c r="BR375" s="165"/>
      <c r="BS375" s="165"/>
      <c r="BT375" s="165"/>
      <c r="BU375" s="165"/>
      <c r="BV375" s="165"/>
      <c r="BW375" s="165"/>
      <c r="BX375" s="165"/>
      <c r="BY375" s="165"/>
      <c r="BZ375" s="165"/>
    </row>
    <row r="376" spans="2:78" s="139" customFormat="1" outlineLevel="1">
      <c r="C376" s="140" t="s">
        <v>1584</v>
      </c>
      <c r="H376" s="141"/>
      <c r="I376" s="141"/>
      <c r="J376" s="141"/>
      <c r="K376" s="141"/>
      <c r="L376" s="141"/>
      <c r="M376" s="142"/>
      <c r="N376" s="143">
        <f t="shared" ref="N376:BO376" si="48">SUBTOTAL(9,N363:N375)</f>
        <v>44267</v>
      </c>
      <c r="O376" s="144">
        <f t="shared" si="48"/>
        <v>6825</v>
      </c>
      <c r="P376" s="144">
        <f t="shared" si="48"/>
        <v>0</v>
      </c>
      <c r="Q376" s="144">
        <f t="shared" si="48"/>
        <v>0</v>
      </c>
      <c r="R376" s="144">
        <f t="shared" si="48"/>
        <v>0</v>
      </c>
      <c r="S376" s="144">
        <f t="shared" si="48"/>
        <v>0</v>
      </c>
      <c r="T376" s="144">
        <f t="shared" si="48"/>
        <v>3000</v>
      </c>
      <c r="U376" s="144">
        <f t="shared" si="48"/>
        <v>0</v>
      </c>
      <c r="V376" s="144">
        <f t="shared" si="48"/>
        <v>0</v>
      </c>
      <c r="W376" s="144">
        <f t="shared" si="48"/>
        <v>0</v>
      </c>
      <c r="X376" s="144">
        <f t="shared" si="48"/>
        <v>3000</v>
      </c>
      <c r="Y376" s="144">
        <f t="shared" si="48"/>
        <v>0</v>
      </c>
      <c r="Z376" s="144">
        <f t="shared" si="48"/>
        <v>1200</v>
      </c>
      <c r="AA376" s="144">
        <f t="shared" si="48"/>
        <v>0</v>
      </c>
      <c r="AB376" s="144">
        <f t="shared" si="48"/>
        <v>4200</v>
      </c>
      <c r="AC376" s="144">
        <f t="shared" si="48"/>
        <v>200</v>
      </c>
      <c r="AD376" s="144">
        <f t="shared" si="48"/>
        <v>1100</v>
      </c>
      <c r="AE376" s="144">
        <f t="shared" si="48"/>
        <v>0</v>
      </c>
      <c r="AF376" s="144">
        <f t="shared" si="48"/>
        <v>1000</v>
      </c>
      <c r="AG376" s="144">
        <f t="shared" si="48"/>
        <v>8990</v>
      </c>
      <c r="AH376" s="144">
        <f t="shared" si="48"/>
        <v>0</v>
      </c>
      <c r="AI376" s="144">
        <f t="shared" si="48"/>
        <v>0</v>
      </c>
      <c r="AJ376" s="144">
        <f t="shared" si="48"/>
        <v>0</v>
      </c>
      <c r="AK376" s="144">
        <f t="shared" si="48"/>
        <v>500</v>
      </c>
      <c r="AL376" s="144">
        <f t="shared" si="48"/>
        <v>0</v>
      </c>
      <c r="AM376" s="144">
        <f t="shared" si="48"/>
        <v>0</v>
      </c>
      <c r="AN376" s="144">
        <f t="shared" si="48"/>
        <v>0</v>
      </c>
      <c r="AO376" s="144">
        <f t="shared" si="48"/>
        <v>0</v>
      </c>
      <c r="AP376" s="144">
        <f t="shared" si="48"/>
        <v>0</v>
      </c>
      <c r="AQ376" s="144">
        <f t="shared" si="48"/>
        <v>0</v>
      </c>
      <c r="AR376" s="144">
        <f t="shared" si="48"/>
        <v>0</v>
      </c>
      <c r="AS376" s="144">
        <f t="shared" si="48"/>
        <v>0</v>
      </c>
      <c r="AT376" s="144">
        <f t="shared" si="48"/>
        <v>2650</v>
      </c>
      <c r="AU376" s="144">
        <f t="shared" si="48"/>
        <v>0</v>
      </c>
      <c r="AV376" s="144">
        <f t="shared" si="48"/>
        <v>0</v>
      </c>
      <c r="AW376" s="144">
        <f t="shared" si="48"/>
        <v>0</v>
      </c>
      <c r="AX376" s="144">
        <f t="shared" si="48"/>
        <v>2600</v>
      </c>
      <c r="AY376" s="144">
        <f t="shared" si="48"/>
        <v>0</v>
      </c>
      <c r="AZ376" s="144">
        <f t="shared" si="48"/>
        <v>0</v>
      </c>
      <c r="BA376" s="144">
        <f t="shared" si="48"/>
        <v>0</v>
      </c>
      <c r="BB376" s="144">
        <f t="shared" si="48"/>
        <v>6302</v>
      </c>
      <c r="BC376" s="144">
        <f t="shared" si="48"/>
        <v>0</v>
      </c>
      <c r="BD376" s="144">
        <f t="shared" si="48"/>
        <v>0</v>
      </c>
      <c r="BE376" s="144">
        <f t="shared" si="48"/>
        <v>0</v>
      </c>
      <c r="BF376" s="144">
        <f t="shared" si="48"/>
        <v>0</v>
      </c>
      <c r="BG376" s="144">
        <f t="shared" si="48"/>
        <v>2700</v>
      </c>
      <c r="BH376" s="144">
        <f t="shared" si="48"/>
        <v>0</v>
      </c>
      <c r="BI376" s="144">
        <f t="shared" si="48"/>
        <v>0</v>
      </c>
      <c r="BJ376" s="144">
        <f t="shared" si="48"/>
        <v>0</v>
      </c>
      <c r="BK376" s="144">
        <f t="shared" si="48"/>
        <v>0</v>
      </c>
      <c r="BL376" s="144">
        <f t="shared" si="48"/>
        <v>0</v>
      </c>
      <c r="BM376" s="144">
        <f t="shared" si="48"/>
        <v>0</v>
      </c>
      <c r="BN376" s="144">
        <f t="shared" si="48"/>
        <v>0</v>
      </c>
      <c r="BO376" s="144">
        <f t="shared" si="48"/>
        <v>0</v>
      </c>
      <c r="BP376" s="144"/>
      <c r="BQ376" s="144"/>
      <c r="BR376" s="144"/>
      <c r="BS376" s="144"/>
      <c r="BT376" s="144"/>
      <c r="BU376" s="144"/>
      <c r="BV376" s="144"/>
      <c r="BW376" s="144"/>
      <c r="BX376" s="144"/>
      <c r="BY376" s="144"/>
      <c r="BZ376" s="144">
        <f>SUBTOTAL(9,BZ363:BZ364)</f>
        <v>0</v>
      </c>
    </row>
    <row r="377" spans="2:78" s="121" customFormat="1" outlineLevel="2">
      <c r="B377" s="121" t="s">
        <v>1426</v>
      </c>
      <c r="C377" s="121" t="s">
        <v>1585</v>
      </c>
      <c r="D377" s="145" t="s">
        <v>198</v>
      </c>
      <c r="F377" s="149" t="s">
        <v>178</v>
      </c>
      <c r="H377" s="122" t="s">
        <v>1586</v>
      </c>
      <c r="I377" s="124"/>
      <c r="J377" s="124"/>
      <c r="K377" s="124"/>
      <c r="L377" s="124" t="s">
        <v>484</v>
      </c>
      <c r="M377" s="125" t="s">
        <v>183</v>
      </c>
      <c r="N377" s="126">
        <f t="shared" ref="N377:N385" si="49">SUM(O377:BO377)</f>
        <v>300</v>
      </c>
      <c r="O377" s="127">
        <v>0</v>
      </c>
      <c r="P377" s="127"/>
      <c r="Q377" s="127"/>
      <c r="R377" s="127"/>
      <c r="S377" s="127"/>
      <c r="T377" s="127">
        <v>0</v>
      </c>
      <c r="U377" s="127"/>
      <c r="V377" s="127"/>
      <c r="W377" s="127"/>
      <c r="X377" s="127">
        <v>0</v>
      </c>
      <c r="Y377" s="127"/>
      <c r="Z377" s="127"/>
      <c r="AA377" s="127"/>
      <c r="AB377" s="127">
        <v>0</v>
      </c>
      <c r="AC377" s="127"/>
      <c r="AD377" s="127"/>
      <c r="AE377" s="127"/>
      <c r="AF377" s="127"/>
      <c r="AG377" s="127">
        <v>300</v>
      </c>
      <c r="AH377" s="127"/>
      <c r="AI377" s="127"/>
      <c r="AJ377" s="127"/>
      <c r="AK377" s="127">
        <v>0</v>
      </c>
      <c r="AL377" s="127"/>
      <c r="AM377" s="127"/>
      <c r="AN377" s="127"/>
      <c r="AO377" s="127">
        <v>0</v>
      </c>
      <c r="AP377" s="127"/>
      <c r="AQ377" s="127"/>
      <c r="AR377" s="127"/>
      <c r="AS377" s="127"/>
      <c r="AT377" s="127">
        <v>0</v>
      </c>
      <c r="AU377" s="127"/>
      <c r="AV377" s="127"/>
      <c r="AW377" s="127"/>
      <c r="AX377" s="127">
        <v>0</v>
      </c>
      <c r="AY377" s="127"/>
      <c r="AZ377" s="127"/>
      <c r="BA377" s="127"/>
      <c r="BB377" s="127">
        <v>0</v>
      </c>
      <c r="BC377" s="127"/>
      <c r="BD377" s="127"/>
      <c r="BE377" s="127"/>
      <c r="BF377" s="127"/>
      <c r="BG377" s="127">
        <v>0</v>
      </c>
      <c r="BH377" s="127"/>
      <c r="BI377" s="127"/>
      <c r="BJ377" s="127"/>
      <c r="BK377" s="127">
        <v>0</v>
      </c>
      <c r="BL377" s="127"/>
      <c r="BM377" s="127"/>
      <c r="BN377" s="127"/>
      <c r="BO377" s="127"/>
      <c r="BP377" s="127" t="s">
        <v>1587</v>
      </c>
      <c r="BQ377" s="127" t="s">
        <v>340</v>
      </c>
      <c r="BR377" s="127" t="s">
        <v>1588</v>
      </c>
      <c r="BS377" s="127" t="s">
        <v>1589</v>
      </c>
      <c r="BT377" s="127" t="s">
        <v>188</v>
      </c>
      <c r="BU377" s="127" t="s">
        <v>1590</v>
      </c>
      <c r="BV377" s="127" t="s">
        <v>188</v>
      </c>
      <c r="BW377" s="127" t="s">
        <v>733</v>
      </c>
      <c r="BX377" s="127" t="s">
        <v>1591</v>
      </c>
      <c r="BY377" s="127" t="s">
        <v>189</v>
      </c>
      <c r="BZ377" s="131" t="s">
        <v>1592</v>
      </c>
    </row>
    <row r="378" spans="2:78" s="121" customFormat="1" outlineLevel="2">
      <c r="B378" s="121" t="s">
        <v>1426</v>
      </c>
      <c r="C378" s="121" t="s">
        <v>1585</v>
      </c>
      <c r="D378" s="145" t="s">
        <v>198</v>
      </c>
      <c r="F378" s="149" t="s">
        <v>178</v>
      </c>
      <c r="H378" s="124" t="s">
        <v>1593</v>
      </c>
      <c r="I378" s="124"/>
      <c r="J378" s="124"/>
      <c r="K378" s="124" t="s">
        <v>189</v>
      </c>
      <c r="L378" s="124" t="s">
        <v>484</v>
      </c>
      <c r="M378" s="125" t="s">
        <v>183</v>
      </c>
      <c r="N378" s="126">
        <f t="shared" si="49"/>
        <v>2036</v>
      </c>
      <c r="O378" s="127"/>
      <c r="P378" s="127"/>
      <c r="Q378" s="127"/>
      <c r="R378" s="127"/>
      <c r="S378" s="127"/>
      <c r="T378" s="127">
        <v>0</v>
      </c>
      <c r="U378" s="127"/>
      <c r="V378" s="127"/>
      <c r="W378" s="127"/>
      <c r="X378" s="127">
        <v>0</v>
      </c>
      <c r="Y378" s="127"/>
      <c r="Z378" s="127"/>
      <c r="AA378" s="127"/>
      <c r="AB378" s="127">
        <v>0</v>
      </c>
      <c r="AC378" s="127"/>
      <c r="AD378" s="127"/>
      <c r="AE378" s="127"/>
      <c r="AF378" s="127"/>
      <c r="AG378" s="127">
        <v>0</v>
      </c>
      <c r="AH378" s="127"/>
      <c r="AI378" s="127"/>
      <c r="AJ378" s="127"/>
      <c r="AK378" s="127">
        <v>0</v>
      </c>
      <c r="AL378" s="127"/>
      <c r="AM378" s="127"/>
      <c r="AN378" s="127"/>
      <c r="AO378" s="127">
        <v>0</v>
      </c>
      <c r="AP378" s="127"/>
      <c r="AQ378" s="127"/>
      <c r="AR378" s="127"/>
      <c r="AS378" s="127"/>
      <c r="AT378" s="127">
        <v>2036</v>
      </c>
      <c r="AU378" s="127"/>
      <c r="AV378" s="127"/>
      <c r="AW378" s="127"/>
      <c r="AX378" s="127">
        <v>0</v>
      </c>
      <c r="AY378" s="127"/>
      <c r="AZ378" s="127"/>
      <c r="BA378" s="127"/>
      <c r="BB378" s="127">
        <v>0</v>
      </c>
      <c r="BC378" s="127"/>
      <c r="BD378" s="127"/>
      <c r="BE378" s="127"/>
      <c r="BF378" s="127"/>
      <c r="BG378" s="127">
        <v>0</v>
      </c>
      <c r="BH378" s="127"/>
      <c r="BI378" s="127"/>
      <c r="BJ378" s="127"/>
      <c r="BK378" s="127">
        <v>0</v>
      </c>
      <c r="BL378" s="127"/>
      <c r="BM378" s="127"/>
      <c r="BN378" s="127"/>
      <c r="BO378" s="127"/>
      <c r="BP378" s="127" t="s">
        <v>1594</v>
      </c>
      <c r="BQ378" s="127" t="s">
        <v>636</v>
      </c>
      <c r="BR378" s="127" t="s">
        <v>1595</v>
      </c>
      <c r="BS378" s="127" t="s">
        <v>1596</v>
      </c>
      <c r="BT378" s="127" t="s">
        <v>188</v>
      </c>
      <c r="BU378" s="127" t="s">
        <v>189</v>
      </c>
      <c r="BV378" s="127" t="s">
        <v>188</v>
      </c>
      <c r="BW378" s="127" t="s">
        <v>343</v>
      </c>
      <c r="BX378" s="127" t="s">
        <v>1597</v>
      </c>
      <c r="BY378" s="127" t="s">
        <v>189</v>
      </c>
      <c r="BZ378" s="155" t="s">
        <v>1598</v>
      </c>
    </row>
    <row r="379" spans="2:78" s="121" customFormat="1" outlineLevel="2">
      <c r="B379" s="121" t="s">
        <v>1426</v>
      </c>
      <c r="C379" s="121" t="s">
        <v>1585</v>
      </c>
      <c r="D379" s="145" t="s">
        <v>198</v>
      </c>
      <c r="F379" s="149" t="s">
        <v>178</v>
      </c>
      <c r="H379" s="122" t="s">
        <v>1599</v>
      </c>
      <c r="I379" s="124"/>
      <c r="J379" s="124"/>
      <c r="K379" s="124" t="s">
        <v>1600</v>
      </c>
      <c r="L379" s="124" t="s">
        <v>484</v>
      </c>
      <c r="M379" s="125" t="s">
        <v>183</v>
      </c>
      <c r="N379" s="126">
        <f t="shared" si="49"/>
        <v>574</v>
      </c>
      <c r="O379" s="127"/>
      <c r="P379" s="127"/>
      <c r="Q379" s="127"/>
      <c r="R379" s="127"/>
      <c r="S379" s="127"/>
      <c r="T379" s="127">
        <v>0</v>
      </c>
      <c r="U379" s="127"/>
      <c r="V379" s="127"/>
      <c r="W379" s="127"/>
      <c r="X379" s="127">
        <v>574</v>
      </c>
      <c r="Y379" s="127"/>
      <c r="Z379" s="127"/>
      <c r="AA379" s="127"/>
      <c r="AB379" s="127">
        <v>0</v>
      </c>
      <c r="AC379" s="127"/>
      <c r="AD379" s="127"/>
      <c r="AE379" s="127"/>
      <c r="AF379" s="127"/>
      <c r="AG379" s="127">
        <v>0</v>
      </c>
      <c r="AH379" s="127"/>
      <c r="AI379" s="127"/>
      <c r="AJ379" s="127"/>
      <c r="AK379" s="127">
        <v>0</v>
      </c>
      <c r="AL379" s="127"/>
      <c r="AM379" s="127"/>
      <c r="AN379" s="127"/>
      <c r="AO379" s="127">
        <v>0</v>
      </c>
      <c r="AP379" s="127"/>
      <c r="AQ379" s="127"/>
      <c r="AR379" s="127"/>
      <c r="AS379" s="127"/>
      <c r="AT379" s="127">
        <v>0</v>
      </c>
      <c r="AU379" s="127"/>
      <c r="AV379" s="127"/>
      <c r="AW379" s="127"/>
      <c r="AX379" s="127">
        <v>0</v>
      </c>
      <c r="AY379" s="127"/>
      <c r="AZ379" s="127"/>
      <c r="BA379" s="127"/>
      <c r="BB379" s="127">
        <v>0</v>
      </c>
      <c r="BC379" s="127"/>
      <c r="BD379" s="127"/>
      <c r="BE379" s="127"/>
      <c r="BF379" s="127"/>
      <c r="BG379" s="127">
        <v>0</v>
      </c>
      <c r="BH379" s="127"/>
      <c r="BI379" s="127"/>
      <c r="BJ379" s="127"/>
      <c r="BK379" s="127">
        <v>0</v>
      </c>
      <c r="BL379" s="127"/>
      <c r="BM379" s="127"/>
      <c r="BN379" s="127"/>
      <c r="BO379" s="127"/>
      <c r="BP379" s="127" t="s">
        <v>1601</v>
      </c>
      <c r="BQ379" s="127" t="s">
        <v>560</v>
      </c>
      <c r="BR379" s="127" t="s">
        <v>1602</v>
      </c>
      <c r="BS379" s="127" t="s">
        <v>651</v>
      </c>
      <c r="BT379" s="127" t="s">
        <v>188</v>
      </c>
      <c r="BU379" s="127" t="s">
        <v>189</v>
      </c>
      <c r="BV379" s="127" t="s">
        <v>205</v>
      </c>
      <c r="BW379" s="127" t="s">
        <v>191</v>
      </c>
      <c r="BX379" s="127" t="s">
        <v>189</v>
      </c>
      <c r="BY379" s="127" t="s">
        <v>189</v>
      </c>
      <c r="BZ379" s="131" t="s">
        <v>630</v>
      </c>
    </row>
    <row r="380" spans="2:78" s="121" customFormat="1" outlineLevel="2">
      <c r="B380" s="121" t="s">
        <v>1426</v>
      </c>
      <c r="C380" s="121" t="s">
        <v>1585</v>
      </c>
      <c r="D380" s="107" t="s">
        <v>198</v>
      </c>
      <c r="F380" s="107" t="s">
        <v>178</v>
      </c>
      <c r="H380" s="122" t="s">
        <v>624</v>
      </c>
      <c r="I380" s="124"/>
      <c r="J380" s="124"/>
      <c r="K380" s="124" t="s">
        <v>625</v>
      </c>
      <c r="L380" s="124" t="s">
        <v>484</v>
      </c>
      <c r="M380" s="125" t="s">
        <v>183</v>
      </c>
      <c r="N380" s="126">
        <f t="shared" si="49"/>
        <v>250</v>
      </c>
      <c r="O380" s="127">
        <v>0</v>
      </c>
      <c r="P380" s="127"/>
      <c r="Q380" s="127"/>
      <c r="R380" s="127"/>
      <c r="S380" s="127"/>
      <c r="T380" s="127">
        <v>0</v>
      </c>
      <c r="U380" s="127"/>
      <c r="V380" s="127"/>
      <c r="W380" s="127"/>
      <c r="X380" s="127">
        <v>0</v>
      </c>
      <c r="Y380" s="127"/>
      <c r="Z380" s="127"/>
      <c r="AA380" s="127"/>
      <c r="AB380" s="127">
        <v>0</v>
      </c>
      <c r="AC380" s="127"/>
      <c r="AD380" s="127"/>
      <c r="AE380" s="127"/>
      <c r="AF380" s="127"/>
      <c r="AG380" s="127">
        <v>0</v>
      </c>
      <c r="AH380" s="127"/>
      <c r="AI380" s="127"/>
      <c r="AJ380" s="127"/>
      <c r="AK380" s="127">
        <v>250</v>
      </c>
      <c r="AL380" s="127"/>
      <c r="AM380" s="127"/>
      <c r="AN380" s="127"/>
      <c r="AO380" s="127">
        <v>0</v>
      </c>
      <c r="AP380" s="127"/>
      <c r="AQ380" s="127"/>
      <c r="AR380" s="127"/>
      <c r="AS380" s="127"/>
      <c r="AT380" s="127">
        <v>0</v>
      </c>
      <c r="AU380" s="127"/>
      <c r="AV380" s="127"/>
      <c r="AW380" s="127"/>
      <c r="AX380" s="127">
        <v>0</v>
      </c>
      <c r="AY380" s="127"/>
      <c r="AZ380" s="127"/>
      <c r="BA380" s="127"/>
      <c r="BB380" s="127">
        <v>0</v>
      </c>
      <c r="BC380" s="127"/>
      <c r="BD380" s="127"/>
      <c r="BE380" s="127"/>
      <c r="BF380" s="127"/>
      <c r="BG380" s="127">
        <v>0</v>
      </c>
      <c r="BH380" s="127"/>
      <c r="BI380" s="127"/>
      <c r="BJ380" s="127"/>
      <c r="BK380" s="127">
        <v>0</v>
      </c>
      <c r="BL380" s="127"/>
      <c r="BM380" s="127"/>
      <c r="BN380" s="127"/>
      <c r="BO380" s="127"/>
      <c r="BP380" s="127" t="s">
        <v>626</v>
      </c>
      <c r="BQ380" s="127" t="s">
        <v>612</v>
      </c>
      <c r="BR380" s="127" t="s">
        <v>627</v>
      </c>
      <c r="BS380" s="127" t="s">
        <v>628</v>
      </c>
      <c r="BT380" s="127" t="s">
        <v>188</v>
      </c>
      <c r="BU380" s="127" t="s">
        <v>189</v>
      </c>
      <c r="BV380" s="127" t="s">
        <v>229</v>
      </c>
      <c r="BW380" s="127" t="s">
        <v>343</v>
      </c>
      <c r="BX380" s="127" t="s">
        <v>629</v>
      </c>
      <c r="BY380" s="127" t="s">
        <v>189</v>
      </c>
      <c r="BZ380" s="131" t="s">
        <v>630</v>
      </c>
    </row>
    <row r="381" spans="2:78" s="121" customFormat="1" outlineLevel="2">
      <c r="B381" s="121" t="s">
        <v>1426</v>
      </c>
      <c r="C381" s="121" t="s">
        <v>1585</v>
      </c>
      <c r="D381" s="145" t="s">
        <v>198</v>
      </c>
      <c r="F381" s="149" t="s">
        <v>178</v>
      </c>
      <c r="H381" s="122" t="s">
        <v>597</v>
      </c>
      <c r="I381" s="124"/>
      <c r="J381" s="124"/>
      <c r="K381" s="124" t="s">
        <v>189</v>
      </c>
      <c r="L381" s="124" t="s">
        <v>484</v>
      </c>
      <c r="M381" s="125" t="s">
        <v>183</v>
      </c>
      <c r="N381" s="126">
        <f t="shared" si="49"/>
        <v>600</v>
      </c>
      <c r="O381" s="127">
        <v>0</v>
      </c>
      <c r="P381" s="127"/>
      <c r="Q381" s="127"/>
      <c r="R381" s="127"/>
      <c r="S381" s="127"/>
      <c r="T381" s="127">
        <v>0</v>
      </c>
      <c r="U381" s="127"/>
      <c r="V381" s="127"/>
      <c r="W381" s="127"/>
      <c r="X381" s="127">
        <v>0</v>
      </c>
      <c r="Y381" s="127"/>
      <c r="Z381" s="127"/>
      <c r="AA381" s="127"/>
      <c r="AB381" s="127">
        <v>0</v>
      </c>
      <c r="AC381" s="127"/>
      <c r="AD381" s="127"/>
      <c r="AE381" s="127"/>
      <c r="AF381" s="127"/>
      <c r="AG381" s="127">
        <v>0</v>
      </c>
      <c r="AH381" s="127"/>
      <c r="AI381" s="127"/>
      <c r="AJ381" s="127"/>
      <c r="AK381" s="127">
        <v>600</v>
      </c>
      <c r="AL381" s="127"/>
      <c r="AM381" s="127"/>
      <c r="AN381" s="127"/>
      <c r="AO381" s="127"/>
      <c r="AP381" s="127"/>
      <c r="AQ381" s="127"/>
      <c r="AR381" s="127"/>
      <c r="AS381" s="127"/>
      <c r="AT381" s="127"/>
      <c r="AU381" s="127"/>
      <c r="AV381" s="127"/>
      <c r="AW381" s="127"/>
      <c r="AX381" s="127">
        <v>0</v>
      </c>
      <c r="AY381" s="127"/>
      <c r="AZ381" s="127"/>
      <c r="BA381" s="127"/>
      <c r="BB381" s="127">
        <v>0</v>
      </c>
      <c r="BC381" s="127"/>
      <c r="BD381" s="127"/>
      <c r="BE381" s="127"/>
      <c r="BF381" s="127"/>
      <c r="BG381" s="127">
        <v>0</v>
      </c>
      <c r="BH381" s="127"/>
      <c r="BI381" s="127"/>
      <c r="BJ381" s="127"/>
      <c r="BK381" s="127">
        <v>0</v>
      </c>
      <c r="BL381" s="127"/>
      <c r="BM381" s="127"/>
      <c r="BN381" s="127"/>
      <c r="BO381" s="127"/>
      <c r="BP381" s="127" t="s">
        <v>598</v>
      </c>
      <c r="BQ381" s="127" t="s">
        <v>560</v>
      </c>
      <c r="BR381" s="127" t="s">
        <v>599</v>
      </c>
      <c r="BS381" s="127" t="s">
        <v>600</v>
      </c>
      <c r="BT381" s="127" t="s">
        <v>303</v>
      </c>
      <c r="BU381" s="127" t="s">
        <v>189</v>
      </c>
      <c r="BV381" s="127" t="s">
        <v>229</v>
      </c>
      <c r="BW381" s="127" t="s">
        <v>191</v>
      </c>
      <c r="BX381" s="127" t="s">
        <v>596</v>
      </c>
      <c r="BY381" s="127" t="s">
        <v>601</v>
      </c>
      <c r="BZ381" s="131" t="s">
        <v>488</v>
      </c>
    </row>
    <row r="382" spans="2:78" s="121" customFormat="1" outlineLevel="2">
      <c r="B382" s="121" t="s">
        <v>1426</v>
      </c>
      <c r="C382" s="121" t="s">
        <v>1585</v>
      </c>
      <c r="D382" s="145" t="s">
        <v>1440</v>
      </c>
      <c r="F382" s="149" t="s">
        <v>178</v>
      </c>
      <c r="G382" s="107" t="s">
        <v>199</v>
      </c>
      <c r="H382" s="122" t="s">
        <v>640</v>
      </c>
      <c r="I382" s="124"/>
      <c r="J382" s="124"/>
      <c r="K382" s="124" t="s">
        <v>1603</v>
      </c>
      <c r="L382" s="124" t="s">
        <v>484</v>
      </c>
      <c r="M382" s="125" t="s">
        <v>183</v>
      </c>
      <c r="N382" s="126">
        <f t="shared" si="49"/>
        <v>500</v>
      </c>
      <c r="O382" s="130">
        <v>500</v>
      </c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127"/>
      <c r="AI382" s="127"/>
      <c r="AJ382" s="127"/>
      <c r="AK382" s="127"/>
      <c r="AL382" s="127"/>
      <c r="AM382" s="127"/>
      <c r="AN382" s="127"/>
      <c r="AO382" s="127"/>
      <c r="AP382" s="127"/>
      <c r="AQ382" s="127"/>
      <c r="AR382" s="127"/>
      <c r="AS382" s="127"/>
      <c r="AT382" s="127"/>
      <c r="AU382" s="127"/>
      <c r="AV382" s="127"/>
      <c r="AW382" s="127"/>
      <c r="AX382" s="127"/>
      <c r="AY382" s="127"/>
      <c r="AZ382" s="127"/>
      <c r="BA382" s="127"/>
      <c r="BB382" s="127"/>
      <c r="BC382" s="127"/>
      <c r="BD382" s="127"/>
      <c r="BE382" s="127"/>
      <c r="BF382" s="127"/>
      <c r="BG382" s="127"/>
      <c r="BH382" s="127"/>
      <c r="BI382" s="127"/>
      <c r="BJ382" s="127"/>
      <c r="BK382" s="127"/>
      <c r="BL382" s="127"/>
      <c r="BM382" s="127"/>
      <c r="BN382" s="127"/>
      <c r="BO382" s="127"/>
      <c r="BP382" s="127"/>
      <c r="BQ382" s="127"/>
      <c r="BR382" s="127"/>
      <c r="BS382" s="127"/>
      <c r="BT382" s="127"/>
      <c r="BU382" s="127"/>
      <c r="BV382" s="127"/>
      <c r="BW382" s="127"/>
      <c r="BX382" s="127"/>
      <c r="BY382" s="127"/>
      <c r="BZ382" s="131"/>
    </row>
    <row r="383" spans="2:78" s="121" customFormat="1" outlineLevel="2">
      <c r="B383" s="121" t="s">
        <v>1426</v>
      </c>
      <c r="C383" s="121" t="s">
        <v>1585</v>
      </c>
      <c r="D383" s="145" t="s">
        <v>198</v>
      </c>
      <c r="F383" s="149" t="s">
        <v>178</v>
      </c>
      <c r="G383" s="107" t="s">
        <v>199</v>
      </c>
      <c r="H383" s="122" t="s">
        <v>602</v>
      </c>
      <c r="I383" s="124"/>
      <c r="J383" s="124"/>
      <c r="K383" s="124" t="s">
        <v>1603</v>
      </c>
      <c r="L383" s="124" t="s">
        <v>484</v>
      </c>
      <c r="M383" s="125" t="s">
        <v>183</v>
      </c>
      <c r="N383" s="126">
        <f>SUM(O383:BO383)</f>
        <v>600</v>
      </c>
      <c r="O383" s="127">
        <v>0</v>
      </c>
      <c r="P383" s="127"/>
      <c r="Q383" s="127"/>
      <c r="R383" s="127"/>
      <c r="S383" s="127"/>
      <c r="T383" s="130">
        <v>600</v>
      </c>
      <c r="U383" s="127"/>
      <c r="V383" s="127"/>
      <c r="W383" s="127"/>
      <c r="X383" s="127">
        <v>0</v>
      </c>
      <c r="Y383" s="127"/>
      <c r="Z383" s="127"/>
      <c r="AA383" s="127"/>
      <c r="AB383" s="127"/>
      <c r="AC383" s="127"/>
      <c r="AD383" s="127"/>
      <c r="AE383" s="127"/>
      <c r="AF383" s="127"/>
      <c r="AG383" s="127">
        <v>0</v>
      </c>
      <c r="AH383" s="127"/>
      <c r="AI383" s="127"/>
      <c r="AJ383" s="127"/>
      <c r="AK383" s="127">
        <v>0</v>
      </c>
      <c r="AL383" s="127"/>
      <c r="AM383" s="127"/>
      <c r="AN383" s="127"/>
      <c r="AO383" s="127">
        <v>0</v>
      </c>
      <c r="AP383" s="127"/>
      <c r="AQ383" s="127"/>
      <c r="AR383" s="127"/>
      <c r="AS383" s="127"/>
      <c r="AT383" s="127">
        <v>0</v>
      </c>
      <c r="AU383" s="127"/>
      <c r="AV383" s="127"/>
      <c r="AW383" s="127"/>
      <c r="AX383" s="127">
        <v>0</v>
      </c>
      <c r="AY383" s="127"/>
      <c r="AZ383" s="127"/>
      <c r="BA383" s="127"/>
      <c r="BB383" s="127">
        <v>0</v>
      </c>
      <c r="BC383" s="127"/>
      <c r="BD383" s="127"/>
      <c r="BE383" s="127"/>
      <c r="BF383" s="127"/>
      <c r="BG383" s="127">
        <v>0</v>
      </c>
      <c r="BH383" s="127"/>
      <c r="BI383" s="127"/>
      <c r="BJ383" s="127"/>
      <c r="BK383" s="127">
        <v>0</v>
      </c>
      <c r="BL383" s="127"/>
      <c r="BM383" s="127"/>
      <c r="BN383" s="127"/>
      <c r="BO383" s="127"/>
      <c r="BP383" s="127" t="s">
        <v>604</v>
      </c>
      <c r="BQ383" s="127" t="s">
        <v>605</v>
      </c>
      <c r="BR383" s="127" t="s">
        <v>606</v>
      </c>
      <c r="BS383" s="127" t="s">
        <v>607</v>
      </c>
      <c r="BT383" s="127" t="s">
        <v>303</v>
      </c>
      <c r="BU383" s="127" t="s">
        <v>189</v>
      </c>
      <c r="BV383" s="127" t="s">
        <v>229</v>
      </c>
      <c r="BW383" s="127" t="s">
        <v>191</v>
      </c>
      <c r="BX383" s="127" t="s">
        <v>241</v>
      </c>
      <c r="BY383" s="127" t="s">
        <v>608</v>
      </c>
      <c r="BZ383" s="131" t="s">
        <v>488</v>
      </c>
    </row>
    <row r="384" spans="2:78" s="121" customFormat="1" outlineLevel="2">
      <c r="B384" s="121" t="s">
        <v>1426</v>
      </c>
      <c r="C384" s="121" t="s">
        <v>1585</v>
      </c>
      <c r="D384" s="145" t="s">
        <v>1440</v>
      </c>
      <c r="F384" s="149" t="s">
        <v>178</v>
      </c>
      <c r="G384" s="107" t="s">
        <v>199</v>
      </c>
      <c r="H384" s="122" t="s">
        <v>602</v>
      </c>
      <c r="I384" s="124"/>
      <c r="J384" s="124"/>
      <c r="K384" s="124" t="s">
        <v>1603</v>
      </c>
      <c r="L384" s="124" t="s">
        <v>484</v>
      </c>
      <c r="M384" s="125" t="s">
        <v>183</v>
      </c>
      <c r="N384" s="126">
        <f>SUM(O384:BO384)</f>
        <v>1200</v>
      </c>
      <c r="O384" s="127">
        <v>0</v>
      </c>
      <c r="P384" s="127"/>
      <c r="Q384" s="127"/>
      <c r="R384" s="127"/>
      <c r="S384" s="127"/>
      <c r="T384" s="127"/>
      <c r="U384" s="127"/>
      <c r="V384" s="127"/>
      <c r="W384" s="127"/>
      <c r="X384" s="127">
        <v>0</v>
      </c>
      <c r="Y384" s="130">
        <v>1200</v>
      </c>
      <c r="Z384" s="127"/>
      <c r="AA384" s="127"/>
      <c r="AB384" s="127"/>
      <c r="AC384" s="127"/>
      <c r="AD384" s="127"/>
      <c r="AE384" s="127"/>
      <c r="AF384" s="127"/>
      <c r="AG384" s="127">
        <v>0</v>
      </c>
      <c r="AH384" s="127"/>
      <c r="AI384" s="127"/>
      <c r="AJ384" s="127"/>
      <c r="AK384" s="127">
        <v>0</v>
      </c>
      <c r="AL384" s="127"/>
      <c r="AM384" s="127"/>
      <c r="AN384" s="127"/>
      <c r="AO384" s="127">
        <v>0</v>
      </c>
      <c r="AP384" s="127"/>
      <c r="AQ384" s="127"/>
      <c r="AR384" s="127"/>
      <c r="AS384" s="127"/>
      <c r="AT384" s="127">
        <v>0</v>
      </c>
      <c r="AU384" s="127"/>
      <c r="AV384" s="127"/>
      <c r="AW384" s="127"/>
      <c r="AX384" s="127">
        <v>0</v>
      </c>
      <c r="AY384" s="127"/>
      <c r="AZ384" s="127"/>
      <c r="BA384" s="127"/>
      <c r="BB384" s="127">
        <v>0</v>
      </c>
      <c r="BC384" s="127"/>
      <c r="BD384" s="127"/>
      <c r="BE384" s="127"/>
      <c r="BF384" s="127"/>
      <c r="BG384" s="127">
        <v>0</v>
      </c>
      <c r="BH384" s="127"/>
      <c r="BI384" s="127"/>
      <c r="BJ384" s="127"/>
      <c r="BK384" s="127">
        <v>0</v>
      </c>
      <c r="BL384" s="127"/>
      <c r="BM384" s="127"/>
      <c r="BN384" s="127"/>
      <c r="BO384" s="127"/>
      <c r="BP384" s="127" t="s">
        <v>604</v>
      </c>
      <c r="BQ384" s="127" t="s">
        <v>605</v>
      </c>
      <c r="BR384" s="127" t="s">
        <v>606</v>
      </c>
      <c r="BS384" s="127" t="s">
        <v>607</v>
      </c>
      <c r="BT384" s="127" t="s">
        <v>303</v>
      </c>
      <c r="BU384" s="127" t="s">
        <v>189</v>
      </c>
      <c r="BV384" s="127" t="s">
        <v>229</v>
      </c>
      <c r="BW384" s="127" t="s">
        <v>191</v>
      </c>
      <c r="BX384" s="127" t="s">
        <v>241</v>
      </c>
      <c r="BY384" s="127" t="s">
        <v>608</v>
      </c>
      <c r="BZ384" s="131" t="s">
        <v>488</v>
      </c>
    </row>
    <row r="385" spans="2:78" ht="12.75" customHeight="1" outlineLevel="2">
      <c r="B385" s="102" t="s">
        <v>1426</v>
      </c>
      <c r="C385" s="129" t="s">
        <v>1604</v>
      </c>
      <c r="D385" s="129" t="s">
        <v>198</v>
      </c>
      <c r="E385" s="163"/>
      <c r="F385" s="149" t="s">
        <v>178</v>
      </c>
      <c r="G385" s="124"/>
      <c r="H385" s="170" t="s">
        <v>1605</v>
      </c>
      <c r="I385" s="163"/>
      <c r="J385" s="147"/>
      <c r="K385" s="147"/>
      <c r="L385" s="147" t="s">
        <v>484</v>
      </c>
      <c r="M385" s="125" t="s">
        <v>183</v>
      </c>
      <c r="N385" s="124">
        <f t="shared" si="49"/>
        <v>12000</v>
      </c>
      <c r="O385" s="127">
        <v>1600</v>
      </c>
      <c r="P385" s="127"/>
      <c r="Q385" s="127"/>
      <c r="R385" s="127"/>
      <c r="S385" s="127"/>
      <c r="T385" s="127">
        <v>1600</v>
      </c>
      <c r="U385" s="127"/>
      <c r="V385" s="127"/>
      <c r="W385" s="127"/>
      <c r="X385" s="127">
        <v>1600</v>
      </c>
      <c r="Y385" s="127"/>
      <c r="Z385" s="127"/>
      <c r="AA385" s="127"/>
      <c r="AB385" s="127">
        <v>1600</v>
      </c>
      <c r="AC385" s="127"/>
      <c r="AD385" s="127"/>
      <c r="AE385" s="127"/>
      <c r="AF385" s="127"/>
      <c r="AG385" s="127">
        <v>1600</v>
      </c>
      <c r="AH385" s="127"/>
      <c r="AI385" s="127"/>
      <c r="AJ385" s="127"/>
      <c r="AK385" s="127"/>
      <c r="AL385" s="127"/>
      <c r="AM385" s="127"/>
      <c r="AN385" s="127"/>
      <c r="AO385" s="127"/>
      <c r="AP385" s="127"/>
      <c r="AQ385" s="127"/>
      <c r="AR385" s="127"/>
      <c r="AS385" s="127"/>
      <c r="AT385" s="127"/>
      <c r="AU385" s="127"/>
      <c r="AV385" s="127"/>
      <c r="AW385" s="127"/>
      <c r="AX385" s="127">
        <v>1400</v>
      </c>
      <c r="AY385" s="127"/>
      <c r="AZ385" s="127"/>
      <c r="BA385" s="127"/>
      <c r="BB385" s="127">
        <v>1400</v>
      </c>
      <c r="BC385" s="127"/>
      <c r="BD385" s="127"/>
      <c r="BE385" s="127"/>
      <c r="BF385" s="127"/>
      <c r="BG385" s="127">
        <v>1200</v>
      </c>
      <c r="BH385" s="127"/>
      <c r="BI385" s="127"/>
      <c r="BJ385" s="127"/>
      <c r="BK385" s="127"/>
      <c r="BL385" s="127"/>
      <c r="BM385" s="127"/>
      <c r="BN385" s="127"/>
      <c r="BO385" s="127"/>
      <c r="BP385" s="127" t="s">
        <v>1465</v>
      </c>
      <c r="BQ385" s="165"/>
      <c r="BR385" s="165"/>
      <c r="BS385" s="165"/>
      <c r="BT385" s="165"/>
      <c r="BU385" s="165"/>
      <c r="BV385" s="165"/>
      <c r="BW385" s="165"/>
      <c r="BX385" s="165"/>
      <c r="BY385" s="165"/>
      <c r="BZ385" s="165"/>
    </row>
    <row r="386" spans="2:78" s="139" customFormat="1" outlineLevel="1">
      <c r="C386" s="140" t="s">
        <v>1606</v>
      </c>
      <c r="H386" s="141"/>
      <c r="I386" s="141"/>
      <c r="J386" s="141"/>
      <c r="K386" s="141"/>
      <c r="L386" s="141"/>
      <c r="M386" s="142"/>
      <c r="N386" s="143">
        <f>SUBTOTAL(9,N377:N385)</f>
        <v>18060</v>
      </c>
      <c r="O386" s="144">
        <f>SUBTOTAL(9,O377:O385)</f>
        <v>2100</v>
      </c>
      <c r="P386" s="144">
        <f t="shared" ref="P386:BO386" si="50">SUBTOTAL(9,P377:P385)</f>
        <v>0</v>
      </c>
      <c r="Q386" s="144">
        <f t="shared" si="50"/>
        <v>0</v>
      </c>
      <c r="R386" s="144">
        <f t="shared" si="50"/>
        <v>0</v>
      </c>
      <c r="S386" s="144">
        <f t="shared" si="50"/>
        <v>0</v>
      </c>
      <c r="T386" s="144">
        <f t="shared" si="50"/>
        <v>2200</v>
      </c>
      <c r="U386" s="144">
        <f t="shared" si="50"/>
        <v>0</v>
      </c>
      <c r="V386" s="144">
        <f t="shared" si="50"/>
        <v>0</v>
      </c>
      <c r="W386" s="144">
        <f t="shared" si="50"/>
        <v>0</v>
      </c>
      <c r="X386" s="144">
        <f t="shared" si="50"/>
        <v>2174</v>
      </c>
      <c r="Y386" s="144">
        <f t="shared" si="50"/>
        <v>1200</v>
      </c>
      <c r="Z386" s="144">
        <f t="shared" si="50"/>
        <v>0</v>
      </c>
      <c r="AA386" s="144">
        <f t="shared" si="50"/>
        <v>0</v>
      </c>
      <c r="AB386" s="144">
        <f t="shared" si="50"/>
        <v>1600</v>
      </c>
      <c r="AC386" s="144">
        <f t="shared" si="50"/>
        <v>0</v>
      </c>
      <c r="AD386" s="144">
        <f t="shared" si="50"/>
        <v>0</v>
      </c>
      <c r="AE386" s="144">
        <f t="shared" si="50"/>
        <v>0</v>
      </c>
      <c r="AF386" s="144">
        <f t="shared" si="50"/>
        <v>0</v>
      </c>
      <c r="AG386" s="144">
        <f t="shared" si="50"/>
        <v>1900</v>
      </c>
      <c r="AH386" s="144">
        <f t="shared" si="50"/>
        <v>0</v>
      </c>
      <c r="AI386" s="144">
        <f t="shared" si="50"/>
        <v>0</v>
      </c>
      <c r="AJ386" s="144">
        <f t="shared" si="50"/>
        <v>0</v>
      </c>
      <c r="AK386" s="144">
        <f t="shared" si="50"/>
        <v>850</v>
      </c>
      <c r="AL386" s="144">
        <f t="shared" si="50"/>
        <v>0</v>
      </c>
      <c r="AM386" s="144">
        <f t="shared" si="50"/>
        <v>0</v>
      </c>
      <c r="AN386" s="144">
        <f t="shared" si="50"/>
        <v>0</v>
      </c>
      <c r="AO386" s="144">
        <f t="shared" si="50"/>
        <v>0</v>
      </c>
      <c r="AP386" s="144">
        <f t="shared" si="50"/>
        <v>0</v>
      </c>
      <c r="AQ386" s="144">
        <f t="shared" si="50"/>
        <v>0</v>
      </c>
      <c r="AR386" s="144">
        <f t="shared" si="50"/>
        <v>0</v>
      </c>
      <c r="AS386" s="144">
        <f t="shared" si="50"/>
        <v>0</v>
      </c>
      <c r="AT386" s="144">
        <f t="shared" si="50"/>
        <v>2036</v>
      </c>
      <c r="AU386" s="144">
        <f t="shared" si="50"/>
        <v>0</v>
      </c>
      <c r="AV386" s="144">
        <f t="shared" si="50"/>
        <v>0</v>
      </c>
      <c r="AW386" s="144">
        <f t="shared" si="50"/>
        <v>0</v>
      </c>
      <c r="AX386" s="144">
        <f t="shared" si="50"/>
        <v>1400</v>
      </c>
      <c r="AY386" s="144">
        <f t="shared" si="50"/>
        <v>0</v>
      </c>
      <c r="AZ386" s="144">
        <f t="shared" si="50"/>
        <v>0</v>
      </c>
      <c r="BA386" s="144">
        <f t="shared" si="50"/>
        <v>0</v>
      </c>
      <c r="BB386" s="144">
        <f t="shared" si="50"/>
        <v>1400</v>
      </c>
      <c r="BC386" s="144">
        <f t="shared" si="50"/>
        <v>0</v>
      </c>
      <c r="BD386" s="144">
        <f t="shared" si="50"/>
        <v>0</v>
      </c>
      <c r="BE386" s="144">
        <f t="shared" si="50"/>
        <v>0</v>
      </c>
      <c r="BF386" s="144">
        <f t="shared" si="50"/>
        <v>0</v>
      </c>
      <c r="BG386" s="144">
        <f t="shared" si="50"/>
        <v>1200</v>
      </c>
      <c r="BH386" s="144">
        <f t="shared" si="50"/>
        <v>0</v>
      </c>
      <c r="BI386" s="144">
        <f t="shared" si="50"/>
        <v>0</v>
      </c>
      <c r="BJ386" s="144">
        <f t="shared" si="50"/>
        <v>0</v>
      </c>
      <c r="BK386" s="144">
        <f t="shared" si="50"/>
        <v>0</v>
      </c>
      <c r="BL386" s="144">
        <f t="shared" si="50"/>
        <v>0</v>
      </c>
      <c r="BM386" s="144">
        <f t="shared" si="50"/>
        <v>0</v>
      </c>
      <c r="BN386" s="144">
        <f t="shared" si="50"/>
        <v>0</v>
      </c>
      <c r="BO386" s="144">
        <f t="shared" si="50"/>
        <v>0</v>
      </c>
      <c r="BP386" s="144"/>
      <c r="BQ386" s="144"/>
      <c r="BR386" s="144"/>
      <c r="BS386" s="144"/>
      <c r="BT386" s="144"/>
      <c r="BU386" s="144"/>
      <c r="BV386" s="144"/>
      <c r="BW386" s="144"/>
      <c r="BX386" s="144"/>
      <c r="BY386" s="144"/>
      <c r="BZ386" s="144">
        <f>SUBTOTAL(9,BZ377:BZ379)</f>
        <v>0</v>
      </c>
    </row>
    <row r="387" spans="2:78" s="121" customFormat="1" outlineLevel="2">
      <c r="B387" s="121" t="s">
        <v>1426</v>
      </c>
      <c r="C387" s="121" t="s">
        <v>1607</v>
      </c>
      <c r="D387" s="145" t="s">
        <v>198</v>
      </c>
      <c r="F387" s="149" t="s">
        <v>178</v>
      </c>
      <c r="H387" s="122" t="s">
        <v>1608</v>
      </c>
      <c r="I387" s="124"/>
      <c r="J387" s="124"/>
      <c r="K387" s="124" t="s">
        <v>1609</v>
      </c>
      <c r="L387" s="124" t="s">
        <v>224</v>
      </c>
      <c r="M387" s="125" t="s">
        <v>183</v>
      </c>
      <c r="N387" s="126">
        <f t="shared" ref="N387:N394" si="51">SUM(O387:BO387)</f>
        <v>169</v>
      </c>
      <c r="O387" s="127">
        <v>0</v>
      </c>
      <c r="P387" s="127"/>
      <c r="Q387" s="127"/>
      <c r="R387" s="127"/>
      <c r="S387" s="127"/>
      <c r="T387" s="127">
        <v>0</v>
      </c>
      <c r="U387" s="127"/>
      <c r="V387" s="127"/>
      <c r="W387" s="127"/>
      <c r="X387" s="127">
        <v>0</v>
      </c>
      <c r="Y387" s="127"/>
      <c r="Z387" s="127"/>
      <c r="AA387" s="127"/>
      <c r="AB387" s="127">
        <v>0</v>
      </c>
      <c r="AC387" s="127"/>
      <c r="AD387" s="127"/>
      <c r="AE387" s="127"/>
      <c r="AF387" s="127"/>
      <c r="AG387" s="127">
        <v>0</v>
      </c>
      <c r="AH387" s="127"/>
      <c r="AI387" s="127"/>
      <c r="AJ387" s="127"/>
      <c r="AK387" s="127">
        <v>169</v>
      </c>
      <c r="AL387" s="127"/>
      <c r="AM387" s="127"/>
      <c r="AN387" s="127"/>
      <c r="AO387" s="127">
        <v>0</v>
      </c>
      <c r="AP387" s="127"/>
      <c r="AQ387" s="127"/>
      <c r="AR387" s="127"/>
      <c r="AS387" s="127"/>
      <c r="AT387" s="127">
        <v>0</v>
      </c>
      <c r="AU387" s="127"/>
      <c r="AV387" s="127"/>
      <c r="AW387" s="127"/>
      <c r="AX387" s="127">
        <v>0</v>
      </c>
      <c r="AY387" s="127"/>
      <c r="AZ387" s="127"/>
      <c r="BA387" s="127"/>
      <c r="BB387" s="127">
        <v>0</v>
      </c>
      <c r="BC387" s="127"/>
      <c r="BD387" s="127"/>
      <c r="BE387" s="127"/>
      <c r="BF387" s="127"/>
      <c r="BG387" s="127">
        <v>0</v>
      </c>
      <c r="BH387" s="127"/>
      <c r="BI387" s="127"/>
      <c r="BJ387" s="127"/>
      <c r="BK387" s="127">
        <v>0</v>
      </c>
      <c r="BL387" s="127"/>
      <c r="BM387" s="127"/>
      <c r="BN387" s="127"/>
      <c r="BO387" s="127"/>
      <c r="BP387" s="127" t="s">
        <v>1610</v>
      </c>
      <c r="BQ387" s="127" t="s">
        <v>1611</v>
      </c>
      <c r="BR387" s="127" t="s">
        <v>189</v>
      </c>
      <c r="BS387" s="127" t="s">
        <v>189</v>
      </c>
      <c r="BT387" s="127" t="s">
        <v>188</v>
      </c>
      <c r="BU387" s="127" t="s">
        <v>189</v>
      </c>
      <c r="BV387" s="127" t="s">
        <v>205</v>
      </c>
      <c r="BW387" s="127" t="s">
        <v>343</v>
      </c>
      <c r="BX387" s="127" t="s">
        <v>1612</v>
      </c>
      <c r="BY387" s="127" t="s">
        <v>279</v>
      </c>
      <c r="BZ387" s="131" t="s">
        <v>230</v>
      </c>
    </row>
    <row r="388" spans="2:78" s="121" customFormat="1" outlineLevel="2">
      <c r="B388" s="121" t="s">
        <v>1426</v>
      </c>
      <c r="C388" s="121" t="s">
        <v>1607</v>
      </c>
      <c r="D388" s="145" t="s">
        <v>198</v>
      </c>
      <c r="E388" s="171" t="s">
        <v>1613</v>
      </c>
      <c r="F388" s="107" t="s">
        <v>178</v>
      </c>
      <c r="G388" s="107" t="s">
        <v>199</v>
      </c>
      <c r="H388" s="122" t="s">
        <v>267</v>
      </c>
      <c r="I388" s="124"/>
      <c r="J388" s="124"/>
      <c r="K388" s="124" t="s">
        <v>1614</v>
      </c>
      <c r="L388" s="124" t="s">
        <v>224</v>
      </c>
      <c r="M388" s="125" t="s">
        <v>183</v>
      </c>
      <c r="N388" s="126">
        <f t="shared" si="51"/>
        <v>1200</v>
      </c>
      <c r="O388" s="127">
        <v>0</v>
      </c>
      <c r="P388" s="127"/>
      <c r="Q388" s="127"/>
      <c r="R388" s="127"/>
      <c r="S388" s="127"/>
      <c r="T388" s="127">
        <v>0</v>
      </c>
      <c r="U388" s="127"/>
      <c r="V388" s="127"/>
      <c r="W388" s="127"/>
      <c r="X388" s="127">
        <v>0</v>
      </c>
      <c r="Y388" s="127"/>
      <c r="Z388" s="130">
        <v>600</v>
      </c>
      <c r="AA388" s="127"/>
      <c r="AB388" s="127"/>
      <c r="AC388" s="127"/>
      <c r="AD388" s="130">
        <v>600</v>
      </c>
      <c r="AE388" s="127"/>
      <c r="AF388" s="127"/>
      <c r="AG388" s="127">
        <v>0</v>
      </c>
      <c r="AH388" s="127"/>
      <c r="AI388" s="127"/>
      <c r="AJ388" s="127"/>
      <c r="AK388" s="127">
        <v>0</v>
      </c>
      <c r="AL388" s="127"/>
      <c r="AM388" s="127"/>
      <c r="AN388" s="127"/>
      <c r="AO388" s="127">
        <v>0</v>
      </c>
      <c r="AP388" s="127"/>
      <c r="AQ388" s="127"/>
      <c r="AR388" s="127"/>
      <c r="AS388" s="127"/>
      <c r="AT388" s="127">
        <v>0</v>
      </c>
      <c r="AU388" s="127"/>
      <c r="AV388" s="127"/>
      <c r="AW388" s="127"/>
      <c r="AX388" s="127">
        <v>0</v>
      </c>
      <c r="AY388" s="127"/>
      <c r="AZ388" s="127"/>
      <c r="BA388" s="127"/>
      <c r="BB388" s="127">
        <v>0</v>
      </c>
      <c r="BC388" s="127"/>
      <c r="BD388" s="127"/>
      <c r="BE388" s="127"/>
      <c r="BF388" s="127"/>
      <c r="BG388" s="127">
        <v>0</v>
      </c>
      <c r="BH388" s="127"/>
      <c r="BI388" s="127"/>
      <c r="BJ388" s="127"/>
      <c r="BK388" s="127">
        <v>0</v>
      </c>
      <c r="BL388" s="127"/>
      <c r="BM388" s="127"/>
      <c r="BN388" s="127"/>
      <c r="BO388" s="127"/>
      <c r="BP388" s="127" t="s">
        <v>269</v>
      </c>
      <c r="BQ388" s="127" t="s">
        <v>236</v>
      </c>
      <c r="BR388" s="127" t="s">
        <v>270</v>
      </c>
      <c r="BS388" s="127" t="s">
        <v>189</v>
      </c>
      <c r="BT388" s="127" t="s">
        <v>188</v>
      </c>
      <c r="BU388" s="127" t="s">
        <v>189</v>
      </c>
      <c r="BV388" s="127" t="s">
        <v>205</v>
      </c>
      <c r="BW388" s="127" t="s">
        <v>191</v>
      </c>
      <c r="BX388" s="127" t="s">
        <v>189</v>
      </c>
      <c r="BY388" s="127" t="s">
        <v>189</v>
      </c>
      <c r="BZ388" s="131" t="s">
        <v>230</v>
      </c>
    </row>
    <row r="389" spans="2:78" s="121" customFormat="1" outlineLevel="2">
      <c r="B389" s="107" t="s">
        <v>1426</v>
      </c>
      <c r="C389" s="107" t="s">
        <v>1607</v>
      </c>
      <c r="D389" s="145" t="s">
        <v>198</v>
      </c>
      <c r="F389" s="107" t="s">
        <v>178</v>
      </c>
      <c r="H389" s="124" t="s">
        <v>1615</v>
      </c>
      <c r="I389" s="124"/>
      <c r="J389" s="124"/>
      <c r="K389" s="124" t="s">
        <v>1616</v>
      </c>
      <c r="L389" s="124" t="s">
        <v>224</v>
      </c>
      <c r="M389" s="125" t="s">
        <v>183</v>
      </c>
      <c r="N389" s="126">
        <f t="shared" si="51"/>
        <v>1719</v>
      </c>
      <c r="O389" s="127">
        <v>0</v>
      </c>
      <c r="P389" s="127"/>
      <c r="Q389" s="127"/>
      <c r="R389" s="127"/>
      <c r="S389" s="127"/>
      <c r="T389" s="127">
        <v>0</v>
      </c>
      <c r="U389" s="127"/>
      <c r="V389" s="127"/>
      <c r="W389" s="127"/>
      <c r="X389" s="127">
        <v>0</v>
      </c>
      <c r="Y389" s="127"/>
      <c r="Z389" s="127"/>
      <c r="AA389" s="127"/>
      <c r="AB389" s="127">
        <v>0</v>
      </c>
      <c r="AC389" s="127"/>
      <c r="AD389" s="127"/>
      <c r="AE389" s="127"/>
      <c r="AF389" s="127"/>
      <c r="AG389" s="127">
        <v>0</v>
      </c>
      <c r="AH389" s="127"/>
      <c r="AI389" s="127"/>
      <c r="AJ389" s="127"/>
      <c r="AK389" s="127">
        <v>0</v>
      </c>
      <c r="AL389" s="127"/>
      <c r="AM389" s="127"/>
      <c r="AN389" s="127"/>
      <c r="AO389" s="127">
        <v>0</v>
      </c>
      <c r="AP389" s="127"/>
      <c r="AQ389" s="127"/>
      <c r="AR389" s="127"/>
      <c r="AS389" s="127"/>
      <c r="AT389" s="127">
        <v>1719</v>
      </c>
      <c r="AU389" s="127"/>
      <c r="AV389" s="127"/>
      <c r="AW389" s="127"/>
      <c r="AX389" s="127">
        <v>0</v>
      </c>
      <c r="AY389" s="127"/>
      <c r="AZ389" s="127"/>
      <c r="BA389" s="127"/>
      <c r="BB389" s="127">
        <v>0</v>
      </c>
      <c r="BC389" s="127"/>
      <c r="BD389" s="127"/>
      <c r="BE389" s="127"/>
      <c r="BF389" s="127"/>
      <c r="BG389" s="127">
        <v>0</v>
      </c>
      <c r="BH389" s="127"/>
      <c r="BI389" s="127"/>
      <c r="BJ389" s="127"/>
      <c r="BK389" s="127">
        <v>0</v>
      </c>
      <c r="BL389" s="127"/>
      <c r="BM389" s="127"/>
      <c r="BN389" s="127"/>
      <c r="BO389" s="127"/>
      <c r="BP389" s="127" t="s">
        <v>1617</v>
      </c>
      <c r="BQ389" s="127" t="s">
        <v>1618</v>
      </c>
      <c r="BR389" s="127" t="s">
        <v>1619</v>
      </c>
      <c r="BS389" s="127" t="s">
        <v>1620</v>
      </c>
      <c r="BT389" s="127" t="s">
        <v>188</v>
      </c>
      <c r="BU389" s="127" t="s">
        <v>189</v>
      </c>
      <c r="BV389" s="127" t="s">
        <v>205</v>
      </c>
      <c r="BW389" s="127" t="s">
        <v>191</v>
      </c>
      <c r="BX389" s="127" t="s">
        <v>1621</v>
      </c>
      <c r="BY389" s="127" t="s">
        <v>189</v>
      </c>
      <c r="BZ389" s="127" t="s">
        <v>189</v>
      </c>
    </row>
    <row r="390" spans="2:78" s="121" customFormat="1" outlineLevel="2">
      <c r="B390" s="121" t="s">
        <v>1426</v>
      </c>
      <c r="C390" s="121" t="s">
        <v>1607</v>
      </c>
      <c r="D390" s="145" t="s">
        <v>198</v>
      </c>
      <c r="F390" s="149" t="s">
        <v>178</v>
      </c>
      <c r="G390" s="107" t="s">
        <v>199</v>
      </c>
      <c r="H390" s="122" t="s">
        <v>362</v>
      </c>
      <c r="I390" s="124"/>
      <c r="J390" s="124"/>
      <c r="K390" s="124" t="s">
        <v>346</v>
      </c>
      <c r="L390" s="124" t="s">
        <v>224</v>
      </c>
      <c r="M390" s="125" t="s">
        <v>183</v>
      </c>
      <c r="N390" s="126">
        <f>SUM(O390:BO390)</f>
        <v>1350</v>
      </c>
      <c r="O390" s="127"/>
      <c r="P390" s="127"/>
      <c r="Q390" s="127"/>
      <c r="R390" s="127"/>
      <c r="S390" s="127"/>
      <c r="T390" s="127">
        <v>0</v>
      </c>
      <c r="U390" s="127"/>
      <c r="V390" s="127"/>
      <c r="W390" s="127"/>
      <c r="X390" s="127">
        <v>0</v>
      </c>
      <c r="Y390" s="127"/>
      <c r="Z390" s="127"/>
      <c r="AA390" s="127"/>
      <c r="AB390" s="127">
        <v>0</v>
      </c>
      <c r="AC390" s="127"/>
      <c r="AD390" s="127"/>
      <c r="AE390" s="127"/>
      <c r="AF390" s="127"/>
      <c r="AG390" s="127">
        <v>0</v>
      </c>
      <c r="AH390" s="127"/>
      <c r="AI390" s="127"/>
      <c r="AJ390" s="127"/>
      <c r="AK390" s="127">
        <v>0</v>
      </c>
      <c r="AL390" s="127"/>
      <c r="AM390" s="127"/>
      <c r="AN390" s="127"/>
      <c r="AO390" s="127">
        <v>0</v>
      </c>
      <c r="AP390" s="127"/>
      <c r="AQ390" s="127"/>
      <c r="AR390" s="127"/>
      <c r="AS390" s="127"/>
      <c r="AT390" s="127">
        <v>0</v>
      </c>
      <c r="AU390" s="127"/>
      <c r="AV390" s="127"/>
      <c r="AW390" s="127"/>
      <c r="AX390" s="127">
        <v>0</v>
      </c>
      <c r="AY390" s="127"/>
      <c r="AZ390" s="127"/>
      <c r="BA390" s="127"/>
      <c r="BB390" s="127">
        <v>0</v>
      </c>
      <c r="BC390" s="127"/>
      <c r="BD390" s="130">
        <v>450</v>
      </c>
      <c r="BE390" s="127"/>
      <c r="BF390" s="127"/>
      <c r="BG390" s="127">
        <v>0</v>
      </c>
      <c r="BH390" s="127"/>
      <c r="BI390" s="127"/>
      <c r="BJ390" s="130">
        <v>900</v>
      </c>
      <c r="BK390" s="127">
        <v>0</v>
      </c>
      <c r="BL390" s="127"/>
      <c r="BM390" s="127"/>
      <c r="BN390" s="127"/>
      <c r="BO390" s="127"/>
      <c r="BP390" s="127"/>
      <c r="BQ390" s="127"/>
      <c r="BR390" s="127"/>
      <c r="BS390" s="127"/>
      <c r="BT390" s="127"/>
      <c r="BU390" s="127"/>
      <c r="BV390" s="127"/>
      <c r="BW390" s="127"/>
      <c r="BX390" s="127"/>
      <c r="BY390" s="127"/>
      <c r="BZ390" s="127"/>
    </row>
    <row r="391" spans="2:78" s="121" customFormat="1" outlineLevel="2">
      <c r="B391" s="121" t="s">
        <v>1426</v>
      </c>
      <c r="C391" s="121" t="s">
        <v>1607</v>
      </c>
      <c r="D391" s="145" t="s">
        <v>198</v>
      </c>
      <c r="F391" s="149" t="s">
        <v>178</v>
      </c>
      <c r="G391" s="107" t="s">
        <v>199</v>
      </c>
      <c r="H391" s="122" t="s">
        <v>1622</v>
      </c>
      <c r="I391" s="124"/>
      <c r="J391" s="124"/>
      <c r="K391" s="124" t="s">
        <v>1623</v>
      </c>
      <c r="L391" s="124" t="s">
        <v>224</v>
      </c>
      <c r="M391" s="125" t="s">
        <v>183</v>
      </c>
      <c r="N391" s="126">
        <f t="shared" si="51"/>
        <v>300</v>
      </c>
      <c r="O391" s="127"/>
      <c r="P391" s="127"/>
      <c r="Q391" s="127"/>
      <c r="R391" s="127"/>
      <c r="S391" s="127"/>
      <c r="T391" s="127"/>
      <c r="U391" s="127"/>
      <c r="V391" s="127"/>
      <c r="W391" s="127"/>
      <c r="X391" s="130">
        <v>300</v>
      </c>
      <c r="Y391" s="127"/>
      <c r="Z391" s="127"/>
      <c r="AA391" s="127"/>
      <c r="AB391" s="127"/>
      <c r="AC391" s="127"/>
      <c r="AD391" s="127"/>
      <c r="AE391" s="127"/>
      <c r="AF391" s="127"/>
      <c r="AG391" s="127"/>
      <c r="AH391" s="127"/>
      <c r="AI391" s="127"/>
      <c r="AJ391" s="127"/>
      <c r="AK391" s="127"/>
      <c r="AL391" s="127"/>
      <c r="AM391" s="127"/>
      <c r="AN391" s="127"/>
      <c r="AO391" s="127"/>
      <c r="AP391" s="127"/>
      <c r="AQ391" s="127"/>
      <c r="AR391" s="127"/>
      <c r="AS391" s="127"/>
      <c r="AT391" s="127"/>
      <c r="AU391" s="127"/>
      <c r="AV391" s="127"/>
      <c r="AW391" s="127"/>
      <c r="AX391" s="127"/>
      <c r="AY391" s="127"/>
      <c r="AZ391" s="127"/>
      <c r="BA391" s="127"/>
      <c r="BB391" s="127"/>
      <c r="BC391" s="127"/>
      <c r="BD391" s="127"/>
      <c r="BE391" s="127"/>
      <c r="BF391" s="127"/>
      <c r="BG391" s="127"/>
      <c r="BH391" s="127"/>
      <c r="BI391" s="127"/>
      <c r="BJ391" s="127"/>
      <c r="BK391" s="127"/>
      <c r="BL391" s="127"/>
      <c r="BM391" s="127"/>
      <c r="BN391" s="127"/>
      <c r="BO391" s="127"/>
      <c r="BP391" s="127"/>
      <c r="BQ391" s="127"/>
      <c r="BR391" s="127"/>
      <c r="BS391" s="127"/>
      <c r="BT391" s="127"/>
      <c r="BU391" s="127"/>
      <c r="BV391" s="127"/>
      <c r="BW391" s="127"/>
      <c r="BX391" s="127"/>
      <c r="BY391" s="127"/>
      <c r="BZ391" s="131"/>
    </row>
    <row r="392" spans="2:78" s="121" customFormat="1" outlineLevel="2">
      <c r="B392" s="121" t="s">
        <v>1426</v>
      </c>
      <c r="C392" s="121" t="s">
        <v>1607</v>
      </c>
      <c r="D392" s="145" t="s">
        <v>198</v>
      </c>
      <c r="F392" s="149" t="s">
        <v>178</v>
      </c>
      <c r="G392" s="107"/>
      <c r="H392" s="122" t="s">
        <v>1624</v>
      </c>
      <c r="I392" s="124"/>
      <c r="J392" s="124"/>
      <c r="K392" s="124" t="s">
        <v>1625</v>
      </c>
      <c r="L392" s="124" t="s">
        <v>224</v>
      </c>
      <c r="M392" s="125" t="s">
        <v>183</v>
      </c>
      <c r="N392" s="126">
        <f t="shared" si="51"/>
        <v>3200</v>
      </c>
      <c r="O392" s="127"/>
      <c r="P392" s="127"/>
      <c r="Q392" s="127"/>
      <c r="R392" s="127"/>
      <c r="S392" s="127"/>
      <c r="T392" s="127"/>
      <c r="U392" s="127"/>
      <c r="V392" s="127"/>
      <c r="W392" s="127"/>
      <c r="X392" s="130"/>
      <c r="Y392" s="127"/>
      <c r="Z392" s="127"/>
      <c r="AA392" s="127"/>
      <c r="AB392" s="127"/>
      <c r="AC392" s="127"/>
      <c r="AD392" s="127"/>
      <c r="AE392" s="127"/>
      <c r="AF392" s="127"/>
      <c r="AG392" s="127"/>
      <c r="AH392" s="127"/>
      <c r="AI392" s="127"/>
      <c r="AJ392" s="127"/>
      <c r="AK392" s="127"/>
      <c r="AL392" s="127"/>
      <c r="AM392" s="127"/>
      <c r="AN392" s="127"/>
      <c r="AO392" s="127"/>
      <c r="AP392" s="127"/>
      <c r="AQ392" s="127"/>
      <c r="AR392" s="127"/>
      <c r="AS392" s="127"/>
      <c r="AT392" s="127"/>
      <c r="AU392" s="127"/>
      <c r="AV392" s="127"/>
      <c r="AW392" s="127"/>
      <c r="AX392" s="127"/>
      <c r="AY392" s="127"/>
      <c r="AZ392" s="127"/>
      <c r="BA392" s="127"/>
      <c r="BB392" s="127"/>
      <c r="BC392" s="127"/>
      <c r="BD392" s="127"/>
      <c r="BE392" s="127"/>
      <c r="BF392" s="127"/>
      <c r="BG392" s="127"/>
      <c r="BH392" s="127"/>
      <c r="BI392" s="127"/>
      <c r="BJ392" s="127">
        <v>800</v>
      </c>
      <c r="BK392" s="127">
        <v>800</v>
      </c>
      <c r="BL392" s="127">
        <v>800</v>
      </c>
      <c r="BM392" s="127">
        <v>800</v>
      </c>
      <c r="BN392" s="127"/>
      <c r="BO392" s="127"/>
      <c r="BP392" s="146" t="s">
        <v>1626</v>
      </c>
      <c r="BQ392" s="146" t="s">
        <v>1627</v>
      </c>
      <c r="BR392" s="146" t="s">
        <v>1628</v>
      </c>
      <c r="BS392" s="146" t="s">
        <v>1629</v>
      </c>
      <c r="BT392" s="146" t="s">
        <v>188</v>
      </c>
      <c r="BU392" s="146" t="s">
        <v>189</v>
      </c>
      <c r="BV392" s="146" t="s">
        <v>1278</v>
      </c>
      <c r="BW392" s="146" t="s">
        <v>191</v>
      </c>
      <c r="BX392" s="146" t="s">
        <v>1630</v>
      </c>
      <c r="BY392" s="146" t="s">
        <v>1631</v>
      </c>
      <c r="BZ392" s="146" t="s">
        <v>1632</v>
      </c>
    </row>
    <row r="393" spans="2:78" s="121" customFormat="1" outlineLevel="2">
      <c r="B393" s="121" t="s">
        <v>1426</v>
      </c>
      <c r="C393" s="121" t="s">
        <v>1607</v>
      </c>
      <c r="D393" s="145" t="s">
        <v>198</v>
      </c>
      <c r="F393" s="149" t="s">
        <v>178</v>
      </c>
      <c r="G393" s="107" t="s">
        <v>199</v>
      </c>
      <c r="H393" s="122" t="s">
        <v>222</v>
      </c>
      <c r="I393" s="124"/>
      <c r="J393" s="124"/>
      <c r="K393" s="124" t="s">
        <v>346</v>
      </c>
      <c r="L393" s="124" t="s">
        <v>224</v>
      </c>
      <c r="M393" s="125" t="s">
        <v>183</v>
      </c>
      <c r="N393" s="126">
        <f>SUM(O393:BO393)</f>
        <v>600</v>
      </c>
      <c r="O393" s="127"/>
      <c r="P393" s="127"/>
      <c r="Q393" s="127"/>
      <c r="R393" s="127"/>
      <c r="S393" s="127"/>
      <c r="T393" s="127">
        <v>0</v>
      </c>
      <c r="U393" s="127"/>
      <c r="V393" s="127"/>
      <c r="W393" s="127"/>
      <c r="X393" s="127">
        <v>0</v>
      </c>
      <c r="Y393" s="127"/>
      <c r="Z393" s="127"/>
      <c r="AA393" s="127"/>
      <c r="AB393" s="127">
        <v>0</v>
      </c>
      <c r="AC393" s="127"/>
      <c r="AD393" s="127"/>
      <c r="AE393" s="127"/>
      <c r="AF393" s="127"/>
      <c r="AG393" s="127"/>
      <c r="AH393" s="127"/>
      <c r="AI393" s="127"/>
      <c r="AJ393" s="127"/>
      <c r="AK393" s="127"/>
      <c r="AL393" s="127"/>
      <c r="AM393" s="127"/>
      <c r="AN393" s="127"/>
      <c r="AO393" s="127"/>
      <c r="AP393" s="127"/>
      <c r="AQ393" s="127"/>
      <c r="AR393" s="127"/>
      <c r="AS393" s="127"/>
      <c r="AT393" s="127"/>
      <c r="AU393" s="127"/>
      <c r="AV393" s="130">
        <v>600</v>
      </c>
      <c r="AW393" s="127"/>
      <c r="AX393" s="127"/>
      <c r="AY393" s="127"/>
      <c r="AZ393" s="127"/>
      <c r="BA393" s="127"/>
      <c r="BB393" s="127">
        <v>0</v>
      </c>
      <c r="BC393" s="127"/>
      <c r="BD393" s="127"/>
      <c r="BE393" s="127"/>
      <c r="BF393" s="127"/>
      <c r="BG393" s="127">
        <v>0</v>
      </c>
      <c r="BH393" s="127"/>
      <c r="BI393" s="127"/>
      <c r="BJ393" s="127"/>
      <c r="BK393" s="127">
        <v>0</v>
      </c>
      <c r="BL393" s="127"/>
      <c r="BM393" s="127"/>
      <c r="BN393" s="127"/>
      <c r="BO393" s="127"/>
      <c r="BP393" s="127" t="s">
        <v>225</v>
      </c>
      <c r="BQ393" s="127" t="s">
        <v>226</v>
      </c>
      <c r="BR393" s="127" t="s">
        <v>227</v>
      </c>
      <c r="BS393" s="127" t="s">
        <v>228</v>
      </c>
      <c r="BT393" s="127" t="s">
        <v>188</v>
      </c>
      <c r="BU393" s="127" t="s">
        <v>189</v>
      </c>
      <c r="BV393" s="127" t="s">
        <v>229</v>
      </c>
      <c r="BW393" s="127" t="s">
        <v>191</v>
      </c>
      <c r="BX393" s="127" t="s">
        <v>189</v>
      </c>
      <c r="BY393" s="127" t="s">
        <v>189</v>
      </c>
      <c r="BZ393" s="131" t="s">
        <v>230</v>
      </c>
    </row>
    <row r="394" spans="2:78" ht="12.75" customHeight="1" outlineLevel="2">
      <c r="B394" s="102" t="s">
        <v>1426</v>
      </c>
      <c r="C394" s="129" t="s">
        <v>1607</v>
      </c>
      <c r="D394" s="129" t="s">
        <v>198</v>
      </c>
      <c r="E394" s="163"/>
      <c r="F394" s="149" t="s">
        <v>178</v>
      </c>
      <c r="G394" s="129"/>
      <c r="H394" s="166" t="s">
        <v>1633</v>
      </c>
      <c r="I394" s="147"/>
      <c r="J394" s="147"/>
      <c r="K394" s="147"/>
      <c r="L394" s="147" t="s">
        <v>224</v>
      </c>
      <c r="M394" s="125" t="s">
        <v>183</v>
      </c>
      <c r="N394" s="124">
        <f t="shared" si="51"/>
        <v>15000</v>
      </c>
      <c r="O394" s="127">
        <v>2000</v>
      </c>
      <c r="P394" s="127"/>
      <c r="Q394" s="127"/>
      <c r="R394" s="127"/>
      <c r="S394" s="127"/>
      <c r="T394" s="127">
        <v>2000</v>
      </c>
      <c r="U394" s="127"/>
      <c r="V394" s="127"/>
      <c r="W394" s="127"/>
      <c r="X394" s="127">
        <v>2000</v>
      </c>
      <c r="Y394" s="127"/>
      <c r="Z394" s="127"/>
      <c r="AA394" s="127"/>
      <c r="AB394" s="127">
        <v>2000</v>
      </c>
      <c r="AC394" s="127"/>
      <c r="AD394" s="127"/>
      <c r="AE394" s="127"/>
      <c r="AF394" s="127"/>
      <c r="AG394" s="127">
        <v>2000</v>
      </c>
      <c r="AH394" s="127"/>
      <c r="AI394" s="127"/>
      <c r="AJ394" s="127"/>
      <c r="AK394" s="127"/>
      <c r="AL394" s="127"/>
      <c r="AM394" s="127"/>
      <c r="AN394" s="127"/>
      <c r="AO394" s="127"/>
      <c r="AP394" s="127"/>
      <c r="AQ394" s="127"/>
      <c r="AR394" s="127"/>
      <c r="AS394" s="127"/>
      <c r="AT394" s="127"/>
      <c r="AU394" s="127"/>
      <c r="AV394" s="127"/>
      <c r="AW394" s="127"/>
      <c r="AX394" s="127">
        <v>1700</v>
      </c>
      <c r="AY394" s="127"/>
      <c r="AZ394" s="127"/>
      <c r="BA394" s="127"/>
      <c r="BB394" s="127">
        <v>1700</v>
      </c>
      <c r="BC394" s="127"/>
      <c r="BD394" s="127"/>
      <c r="BE394" s="127"/>
      <c r="BF394" s="127"/>
      <c r="BG394" s="127">
        <v>1600</v>
      </c>
      <c r="BH394" s="127"/>
      <c r="BI394" s="127"/>
      <c r="BJ394" s="127"/>
      <c r="BK394" s="127"/>
      <c r="BL394" s="127"/>
      <c r="BM394" s="127"/>
      <c r="BN394" s="127"/>
      <c r="BO394" s="127"/>
      <c r="BP394" s="127" t="s">
        <v>1465</v>
      </c>
      <c r="BQ394" s="165"/>
      <c r="BR394" s="165"/>
      <c r="BS394" s="165"/>
      <c r="BT394" s="165"/>
      <c r="BU394" s="165"/>
      <c r="BV394" s="165"/>
      <c r="BW394" s="165"/>
      <c r="BX394" s="165"/>
      <c r="BY394" s="165"/>
      <c r="BZ394" s="165"/>
    </row>
    <row r="395" spans="2:78" s="139" customFormat="1" outlineLevel="1">
      <c r="C395" s="140" t="s">
        <v>1634</v>
      </c>
      <c r="H395" s="141"/>
      <c r="I395" s="141"/>
      <c r="J395" s="141"/>
      <c r="K395" s="141"/>
      <c r="L395" s="141"/>
      <c r="M395" s="142"/>
      <c r="N395" s="143">
        <f t="shared" ref="N395:BO395" si="52">SUBTOTAL(9,N387:N394)</f>
        <v>23538</v>
      </c>
      <c r="O395" s="144">
        <f t="shared" si="52"/>
        <v>2000</v>
      </c>
      <c r="P395" s="144">
        <f t="shared" si="52"/>
        <v>0</v>
      </c>
      <c r="Q395" s="144">
        <f t="shared" si="52"/>
        <v>0</v>
      </c>
      <c r="R395" s="144">
        <f t="shared" si="52"/>
        <v>0</v>
      </c>
      <c r="S395" s="144">
        <f t="shared" si="52"/>
        <v>0</v>
      </c>
      <c r="T395" s="144">
        <f t="shared" si="52"/>
        <v>2000</v>
      </c>
      <c r="U395" s="144">
        <f t="shared" si="52"/>
        <v>0</v>
      </c>
      <c r="V395" s="144">
        <f t="shared" si="52"/>
        <v>0</v>
      </c>
      <c r="W395" s="144">
        <f t="shared" si="52"/>
        <v>0</v>
      </c>
      <c r="X395" s="144">
        <f t="shared" si="52"/>
        <v>2300</v>
      </c>
      <c r="Y395" s="144">
        <f t="shared" si="52"/>
        <v>0</v>
      </c>
      <c r="Z395" s="144">
        <f t="shared" si="52"/>
        <v>600</v>
      </c>
      <c r="AA395" s="144">
        <f t="shared" si="52"/>
        <v>0</v>
      </c>
      <c r="AB395" s="144">
        <f t="shared" si="52"/>
        <v>2000</v>
      </c>
      <c r="AC395" s="144">
        <f t="shared" si="52"/>
        <v>0</v>
      </c>
      <c r="AD395" s="144">
        <f t="shared" si="52"/>
        <v>600</v>
      </c>
      <c r="AE395" s="144">
        <f t="shared" si="52"/>
        <v>0</v>
      </c>
      <c r="AF395" s="144">
        <f t="shared" si="52"/>
        <v>0</v>
      </c>
      <c r="AG395" s="144">
        <f t="shared" si="52"/>
        <v>2000</v>
      </c>
      <c r="AH395" s="144">
        <f t="shared" si="52"/>
        <v>0</v>
      </c>
      <c r="AI395" s="144">
        <f t="shared" si="52"/>
        <v>0</v>
      </c>
      <c r="AJ395" s="144">
        <f t="shared" si="52"/>
        <v>0</v>
      </c>
      <c r="AK395" s="144">
        <f t="shared" si="52"/>
        <v>169</v>
      </c>
      <c r="AL395" s="144">
        <f t="shared" si="52"/>
        <v>0</v>
      </c>
      <c r="AM395" s="144">
        <f t="shared" si="52"/>
        <v>0</v>
      </c>
      <c r="AN395" s="144">
        <f t="shared" si="52"/>
        <v>0</v>
      </c>
      <c r="AO395" s="144">
        <f t="shared" si="52"/>
        <v>0</v>
      </c>
      <c r="AP395" s="144">
        <f t="shared" si="52"/>
        <v>0</v>
      </c>
      <c r="AQ395" s="144">
        <f t="shared" si="52"/>
        <v>0</v>
      </c>
      <c r="AR395" s="144">
        <f t="shared" si="52"/>
        <v>0</v>
      </c>
      <c r="AS395" s="144">
        <f t="shared" si="52"/>
        <v>0</v>
      </c>
      <c r="AT395" s="144">
        <f t="shared" si="52"/>
        <v>1719</v>
      </c>
      <c r="AU395" s="144">
        <f t="shared" si="52"/>
        <v>0</v>
      </c>
      <c r="AV395" s="144">
        <f t="shared" si="52"/>
        <v>600</v>
      </c>
      <c r="AW395" s="144">
        <f t="shared" si="52"/>
        <v>0</v>
      </c>
      <c r="AX395" s="144">
        <f t="shared" si="52"/>
        <v>1700</v>
      </c>
      <c r="AY395" s="144">
        <f t="shared" si="52"/>
        <v>0</v>
      </c>
      <c r="AZ395" s="144">
        <f t="shared" si="52"/>
        <v>0</v>
      </c>
      <c r="BA395" s="144">
        <f t="shared" si="52"/>
        <v>0</v>
      </c>
      <c r="BB395" s="144">
        <f t="shared" si="52"/>
        <v>1700</v>
      </c>
      <c r="BC395" s="144">
        <f t="shared" si="52"/>
        <v>0</v>
      </c>
      <c r="BD395" s="144">
        <f t="shared" si="52"/>
        <v>450</v>
      </c>
      <c r="BE395" s="144">
        <f t="shared" si="52"/>
        <v>0</v>
      </c>
      <c r="BF395" s="144">
        <f t="shared" si="52"/>
        <v>0</v>
      </c>
      <c r="BG395" s="144">
        <f t="shared" si="52"/>
        <v>1600</v>
      </c>
      <c r="BH395" s="144">
        <f t="shared" si="52"/>
        <v>0</v>
      </c>
      <c r="BI395" s="144">
        <f t="shared" si="52"/>
        <v>0</v>
      </c>
      <c r="BJ395" s="144">
        <f t="shared" si="52"/>
        <v>1700</v>
      </c>
      <c r="BK395" s="144">
        <f t="shared" si="52"/>
        <v>800</v>
      </c>
      <c r="BL395" s="144">
        <f t="shared" si="52"/>
        <v>800</v>
      </c>
      <c r="BM395" s="144">
        <f t="shared" si="52"/>
        <v>800</v>
      </c>
      <c r="BN395" s="144">
        <f t="shared" si="52"/>
        <v>0</v>
      </c>
      <c r="BO395" s="144">
        <f t="shared" si="52"/>
        <v>0</v>
      </c>
      <c r="BP395" s="144"/>
      <c r="BQ395" s="144"/>
      <c r="BR395" s="144"/>
      <c r="BS395" s="144"/>
      <c r="BT395" s="144"/>
      <c r="BU395" s="144"/>
      <c r="BV395" s="144"/>
      <c r="BW395" s="144"/>
      <c r="BX395" s="144"/>
      <c r="BY395" s="144"/>
      <c r="BZ395" s="144">
        <f>SUBTOTAL(9,BZ387:BZ387)</f>
        <v>0</v>
      </c>
    </row>
    <row r="396" spans="2:78" s="121" customFormat="1" outlineLevel="2">
      <c r="B396" s="121" t="s">
        <v>1426</v>
      </c>
      <c r="C396" s="121" t="s">
        <v>1635</v>
      </c>
      <c r="D396" s="145" t="s">
        <v>198</v>
      </c>
      <c r="F396" s="149" t="s">
        <v>178</v>
      </c>
      <c r="H396" s="122" t="s">
        <v>1636</v>
      </c>
      <c r="I396" s="123" t="s">
        <v>370</v>
      </c>
      <c r="J396" s="124"/>
      <c r="K396" s="124" t="s">
        <v>189</v>
      </c>
      <c r="L396" s="124" t="s">
        <v>298</v>
      </c>
      <c r="M396" s="125" t="s">
        <v>183</v>
      </c>
      <c r="N396" s="126">
        <f>SUM(O396:BO396)</f>
        <v>150</v>
      </c>
      <c r="O396" s="127">
        <v>0</v>
      </c>
      <c r="P396" s="127"/>
      <c r="Q396" s="127"/>
      <c r="R396" s="127"/>
      <c r="S396" s="127"/>
      <c r="T396" s="127">
        <v>0</v>
      </c>
      <c r="U396" s="127"/>
      <c r="V396" s="127"/>
      <c r="W396" s="127"/>
      <c r="X396" s="127">
        <v>0</v>
      </c>
      <c r="Y396" s="127"/>
      <c r="Z396" s="127"/>
      <c r="AA396" s="127"/>
      <c r="AB396" s="127">
        <v>0</v>
      </c>
      <c r="AC396" s="127"/>
      <c r="AD396" s="127"/>
      <c r="AE396" s="127"/>
      <c r="AF396" s="127"/>
      <c r="AG396" s="127">
        <v>0</v>
      </c>
      <c r="AH396" s="127"/>
      <c r="AI396" s="127"/>
      <c r="AJ396" s="127"/>
      <c r="AK396" s="127">
        <v>0</v>
      </c>
      <c r="AL396" s="127"/>
      <c r="AM396" s="127"/>
      <c r="AN396" s="127"/>
      <c r="AO396" s="127">
        <v>0</v>
      </c>
      <c r="AP396" s="127"/>
      <c r="AQ396" s="127"/>
      <c r="AR396" s="127"/>
      <c r="AS396" s="127"/>
      <c r="AT396" s="127"/>
      <c r="AU396" s="127"/>
      <c r="AV396" s="127"/>
      <c r="AW396" s="127"/>
      <c r="AX396" s="127">
        <v>150</v>
      </c>
      <c r="AY396" s="127"/>
      <c r="AZ396" s="127"/>
      <c r="BA396" s="127"/>
      <c r="BB396" s="127">
        <v>0</v>
      </c>
      <c r="BC396" s="127"/>
      <c r="BD396" s="127"/>
      <c r="BE396" s="127"/>
      <c r="BF396" s="127"/>
      <c r="BG396" s="127">
        <v>0</v>
      </c>
      <c r="BH396" s="127"/>
      <c r="BI396" s="127"/>
      <c r="BJ396" s="127"/>
      <c r="BK396" s="127">
        <v>0</v>
      </c>
      <c r="BL396" s="127"/>
      <c r="BM396" s="127"/>
      <c r="BN396" s="127"/>
      <c r="BO396" s="127"/>
      <c r="BP396" s="127" t="s">
        <v>1637</v>
      </c>
      <c r="BQ396" s="127" t="s">
        <v>300</v>
      </c>
      <c r="BR396" s="127" t="s">
        <v>1638</v>
      </c>
      <c r="BS396" s="127" t="s">
        <v>1639</v>
      </c>
      <c r="BT396" s="127" t="s">
        <v>239</v>
      </c>
      <c r="BU396" s="127" t="s">
        <v>997</v>
      </c>
      <c r="BV396" s="127" t="s">
        <v>190</v>
      </c>
      <c r="BW396" s="127" t="s">
        <v>191</v>
      </c>
      <c r="BX396" s="127" t="s">
        <v>1640</v>
      </c>
      <c r="BY396" s="127" t="s">
        <v>1641</v>
      </c>
      <c r="BZ396" s="128" t="s">
        <v>502</v>
      </c>
    </row>
    <row r="397" spans="2:78" s="121" customFormat="1" outlineLevel="2">
      <c r="B397" s="121" t="s">
        <v>1426</v>
      </c>
      <c r="C397" s="121" t="s">
        <v>1635</v>
      </c>
      <c r="D397" s="145" t="s">
        <v>198</v>
      </c>
      <c r="F397" s="149" t="s">
        <v>178</v>
      </c>
      <c r="H397" s="124" t="s">
        <v>1642</v>
      </c>
      <c r="I397" s="124"/>
      <c r="J397" s="124"/>
      <c r="K397" s="124" t="s">
        <v>1643</v>
      </c>
      <c r="L397" s="124" t="s">
        <v>298</v>
      </c>
      <c r="M397" s="125" t="s">
        <v>183</v>
      </c>
      <c r="N397" s="126">
        <f>SUM(O397:BO397)</f>
        <v>950</v>
      </c>
      <c r="O397" s="127">
        <v>0</v>
      </c>
      <c r="P397" s="127"/>
      <c r="Q397" s="127"/>
      <c r="R397" s="127"/>
      <c r="S397" s="127"/>
      <c r="T397" s="127">
        <v>0</v>
      </c>
      <c r="U397" s="127"/>
      <c r="V397" s="127"/>
      <c r="W397" s="127"/>
      <c r="X397" s="127">
        <v>0</v>
      </c>
      <c r="Y397" s="127"/>
      <c r="Z397" s="127"/>
      <c r="AA397" s="127"/>
      <c r="AB397" s="127">
        <v>0</v>
      </c>
      <c r="AC397" s="127"/>
      <c r="AD397" s="127"/>
      <c r="AE397" s="127"/>
      <c r="AF397" s="127"/>
      <c r="AG397" s="127">
        <v>0</v>
      </c>
      <c r="AH397" s="127"/>
      <c r="AI397" s="127"/>
      <c r="AJ397" s="127"/>
      <c r="AK397" s="127">
        <v>950</v>
      </c>
      <c r="AL397" s="127"/>
      <c r="AM397" s="127"/>
      <c r="AN397" s="127"/>
      <c r="AO397" s="127">
        <v>0</v>
      </c>
      <c r="AP397" s="127"/>
      <c r="AQ397" s="127"/>
      <c r="AR397" s="127"/>
      <c r="AS397" s="127"/>
      <c r="AT397" s="127">
        <v>0</v>
      </c>
      <c r="AU397" s="127"/>
      <c r="AV397" s="127"/>
      <c r="AW397" s="127"/>
      <c r="AX397" s="127">
        <v>0</v>
      </c>
      <c r="AY397" s="127"/>
      <c r="AZ397" s="127"/>
      <c r="BA397" s="127"/>
      <c r="BB397" s="127">
        <v>0</v>
      </c>
      <c r="BC397" s="127"/>
      <c r="BD397" s="127"/>
      <c r="BE397" s="127"/>
      <c r="BF397" s="127"/>
      <c r="BG397" s="127">
        <v>0</v>
      </c>
      <c r="BH397" s="127"/>
      <c r="BI397" s="127"/>
      <c r="BJ397" s="127"/>
      <c r="BK397" s="127">
        <v>0</v>
      </c>
      <c r="BL397" s="127"/>
      <c r="BM397" s="127"/>
      <c r="BN397" s="127"/>
      <c r="BO397" s="127"/>
      <c r="BP397" s="127" t="s">
        <v>1644</v>
      </c>
      <c r="BQ397" s="127" t="s">
        <v>300</v>
      </c>
      <c r="BR397" s="127" t="s">
        <v>1645</v>
      </c>
      <c r="BS397" s="127" t="s">
        <v>1646</v>
      </c>
      <c r="BT397" s="127" t="s">
        <v>188</v>
      </c>
      <c r="BU397" s="127" t="s">
        <v>1012</v>
      </c>
      <c r="BV397" s="127" t="s">
        <v>205</v>
      </c>
      <c r="BW397" s="127" t="s">
        <v>343</v>
      </c>
      <c r="BX397" s="127" t="s">
        <v>596</v>
      </c>
      <c r="BY397" s="127" t="s">
        <v>1647</v>
      </c>
      <c r="BZ397" s="127" t="s">
        <v>307</v>
      </c>
    </row>
    <row r="398" spans="2:78" ht="12.75" customHeight="1" outlineLevel="2">
      <c r="B398" s="102" t="s">
        <v>1426</v>
      </c>
      <c r="C398" s="145" t="s">
        <v>1635</v>
      </c>
      <c r="D398" s="129" t="s">
        <v>198</v>
      </c>
      <c r="E398" s="163"/>
      <c r="F398" s="149" t="s">
        <v>178</v>
      </c>
      <c r="G398" s="129"/>
      <c r="H398" s="166" t="s">
        <v>1648</v>
      </c>
      <c r="I398" s="163"/>
      <c r="J398" s="172"/>
      <c r="K398" s="147"/>
      <c r="L398" s="147" t="s">
        <v>298</v>
      </c>
      <c r="M398" s="125" t="s">
        <v>183</v>
      </c>
      <c r="N398" s="124">
        <f>SUM(O398:BO398)</f>
        <v>10000</v>
      </c>
      <c r="O398" s="127">
        <v>1400</v>
      </c>
      <c r="P398" s="127"/>
      <c r="Q398" s="127"/>
      <c r="R398" s="127"/>
      <c r="S398" s="127"/>
      <c r="T398" s="127">
        <v>1400</v>
      </c>
      <c r="U398" s="127"/>
      <c r="V398" s="127"/>
      <c r="W398" s="127"/>
      <c r="X398" s="127">
        <v>1400</v>
      </c>
      <c r="Y398" s="127"/>
      <c r="Z398" s="127"/>
      <c r="AA398" s="127"/>
      <c r="AB398" s="127">
        <v>1400</v>
      </c>
      <c r="AC398" s="127"/>
      <c r="AD398" s="127"/>
      <c r="AE398" s="127"/>
      <c r="AF398" s="127"/>
      <c r="AG398" s="127">
        <v>1400</v>
      </c>
      <c r="AH398" s="127"/>
      <c r="AI398" s="127"/>
      <c r="AJ398" s="127"/>
      <c r="AK398" s="127"/>
      <c r="AL398" s="127"/>
      <c r="AM398" s="127"/>
      <c r="AN398" s="127"/>
      <c r="AO398" s="127"/>
      <c r="AP398" s="127"/>
      <c r="AQ398" s="127"/>
      <c r="AR398" s="127"/>
      <c r="AS398" s="127"/>
      <c r="AT398" s="127"/>
      <c r="AU398" s="127"/>
      <c r="AV398" s="127"/>
      <c r="AW398" s="127"/>
      <c r="AX398" s="127">
        <v>1000</v>
      </c>
      <c r="AY398" s="127"/>
      <c r="AZ398" s="127"/>
      <c r="BA398" s="127"/>
      <c r="BB398" s="127">
        <v>1000</v>
      </c>
      <c r="BC398" s="127"/>
      <c r="BD398" s="127"/>
      <c r="BE398" s="127"/>
      <c r="BF398" s="127"/>
      <c r="BG398" s="127">
        <v>1000</v>
      </c>
      <c r="BH398" s="127"/>
      <c r="BI398" s="127"/>
      <c r="BJ398" s="127"/>
      <c r="BK398" s="165"/>
      <c r="BL398" s="165"/>
      <c r="BM398" s="165"/>
      <c r="BN398" s="165"/>
      <c r="BO398" s="165"/>
      <c r="BP398" s="127" t="s">
        <v>1465</v>
      </c>
      <c r="BQ398" s="165"/>
      <c r="BR398" s="165"/>
      <c r="BS398" s="165"/>
      <c r="BT398" s="165"/>
      <c r="BU398" s="165"/>
      <c r="BV398" s="165"/>
      <c r="BW398" s="165"/>
      <c r="BX398" s="165"/>
      <c r="BY398" s="165"/>
      <c r="BZ398" s="165"/>
    </row>
    <row r="399" spans="2:78" s="139" customFormat="1" outlineLevel="1">
      <c r="C399" s="140" t="s">
        <v>1649</v>
      </c>
      <c r="H399" s="141"/>
      <c r="I399" s="141"/>
      <c r="J399" s="141"/>
      <c r="K399" s="141"/>
      <c r="L399" s="141"/>
      <c r="M399" s="142"/>
      <c r="N399" s="143">
        <f>SUBTOTAL(9,N396:N398)</f>
        <v>11100</v>
      </c>
      <c r="O399" s="144">
        <f>SUBTOTAL(9,O396:O398)</f>
        <v>1400</v>
      </c>
      <c r="P399" s="144">
        <f t="shared" ref="P399:BO399" si="53">SUBTOTAL(9,P396:P398)</f>
        <v>0</v>
      </c>
      <c r="Q399" s="144">
        <f t="shared" si="53"/>
        <v>0</v>
      </c>
      <c r="R399" s="144">
        <f t="shared" si="53"/>
        <v>0</v>
      </c>
      <c r="S399" s="144">
        <f t="shared" si="53"/>
        <v>0</v>
      </c>
      <c r="T399" s="144">
        <f t="shared" si="53"/>
        <v>1400</v>
      </c>
      <c r="U399" s="144">
        <f t="shared" si="53"/>
        <v>0</v>
      </c>
      <c r="V399" s="144">
        <f t="shared" si="53"/>
        <v>0</v>
      </c>
      <c r="W399" s="144">
        <f t="shared" si="53"/>
        <v>0</v>
      </c>
      <c r="X399" s="144">
        <f t="shared" si="53"/>
        <v>1400</v>
      </c>
      <c r="Y399" s="144">
        <f t="shared" si="53"/>
        <v>0</v>
      </c>
      <c r="Z399" s="144">
        <f t="shared" si="53"/>
        <v>0</v>
      </c>
      <c r="AA399" s="144">
        <f t="shared" si="53"/>
        <v>0</v>
      </c>
      <c r="AB399" s="144">
        <f t="shared" si="53"/>
        <v>1400</v>
      </c>
      <c r="AC399" s="144">
        <f t="shared" si="53"/>
        <v>0</v>
      </c>
      <c r="AD399" s="144">
        <f t="shared" si="53"/>
        <v>0</v>
      </c>
      <c r="AE399" s="144">
        <f t="shared" si="53"/>
        <v>0</v>
      </c>
      <c r="AF399" s="144">
        <f t="shared" si="53"/>
        <v>0</v>
      </c>
      <c r="AG399" s="144">
        <f t="shared" si="53"/>
        <v>1400</v>
      </c>
      <c r="AH399" s="144">
        <f t="shared" si="53"/>
        <v>0</v>
      </c>
      <c r="AI399" s="144">
        <f t="shared" si="53"/>
        <v>0</v>
      </c>
      <c r="AJ399" s="144">
        <f t="shared" si="53"/>
        <v>0</v>
      </c>
      <c r="AK399" s="144">
        <f t="shared" si="53"/>
        <v>950</v>
      </c>
      <c r="AL399" s="144">
        <f t="shared" si="53"/>
        <v>0</v>
      </c>
      <c r="AM399" s="144">
        <f t="shared" si="53"/>
        <v>0</v>
      </c>
      <c r="AN399" s="144">
        <f t="shared" si="53"/>
        <v>0</v>
      </c>
      <c r="AO399" s="144">
        <f t="shared" si="53"/>
        <v>0</v>
      </c>
      <c r="AP399" s="144">
        <f t="shared" si="53"/>
        <v>0</v>
      </c>
      <c r="AQ399" s="144">
        <f t="shared" si="53"/>
        <v>0</v>
      </c>
      <c r="AR399" s="144">
        <f t="shared" si="53"/>
        <v>0</v>
      </c>
      <c r="AS399" s="144">
        <f t="shared" si="53"/>
        <v>0</v>
      </c>
      <c r="AT399" s="144">
        <f t="shared" si="53"/>
        <v>0</v>
      </c>
      <c r="AU399" s="144">
        <f t="shared" si="53"/>
        <v>0</v>
      </c>
      <c r="AV399" s="144">
        <f t="shared" si="53"/>
        <v>0</v>
      </c>
      <c r="AW399" s="144">
        <f t="shared" si="53"/>
        <v>0</v>
      </c>
      <c r="AX399" s="144">
        <f t="shared" si="53"/>
        <v>1150</v>
      </c>
      <c r="AY399" s="144">
        <f t="shared" si="53"/>
        <v>0</v>
      </c>
      <c r="AZ399" s="144">
        <f t="shared" si="53"/>
        <v>0</v>
      </c>
      <c r="BA399" s="144">
        <f t="shared" si="53"/>
        <v>0</v>
      </c>
      <c r="BB399" s="144">
        <f t="shared" si="53"/>
        <v>1000</v>
      </c>
      <c r="BC399" s="144">
        <f t="shared" si="53"/>
        <v>0</v>
      </c>
      <c r="BD399" s="144">
        <f t="shared" si="53"/>
        <v>0</v>
      </c>
      <c r="BE399" s="144">
        <f t="shared" si="53"/>
        <v>0</v>
      </c>
      <c r="BF399" s="144">
        <f t="shared" si="53"/>
        <v>0</v>
      </c>
      <c r="BG399" s="144">
        <f t="shared" si="53"/>
        <v>1000</v>
      </c>
      <c r="BH399" s="144">
        <f t="shared" si="53"/>
        <v>0</v>
      </c>
      <c r="BI399" s="144">
        <f t="shared" si="53"/>
        <v>0</v>
      </c>
      <c r="BJ399" s="144">
        <f t="shared" si="53"/>
        <v>0</v>
      </c>
      <c r="BK399" s="144">
        <f t="shared" si="53"/>
        <v>0</v>
      </c>
      <c r="BL399" s="144">
        <f t="shared" si="53"/>
        <v>0</v>
      </c>
      <c r="BM399" s="144">
        <f t="shared" si="53"/>
        <v>0</v>
      </c>
      <c r="BN399" s="144">
        <f t="shared" si="53"/>
        <v>0</v>
      </c>
      <c r="BO399" s="144">
        <f t="shared" si="53"/>
        <v>0</v>
      </c>
      <c r="BP399" s="144"/>
      <c r="BQ399" s="144"/>
      <c r="BR399" s="144"/>
      <c r="BS399" s="144"/>
      <c r="BT399" s="144"/>
      <c r="BU399" s="144"/>
      <c r="BV399" s="144"/>
      <c r="BW399" s="144"/>
      <c r="BX399" s="144"/>
      <c r="BY399" s="144"/>
      <c r="BZ399" s="144">
        <f>SUBTOTAL(9,BZ396:BZ397)</f>
        <v>0</v>
      </c>
    </row>
    <row r="400" spans="2:78" ht="12.75" customHeight="1" outlineLevel="2">
      <c r="B400" s="102" t="s">
        <v>1426</v>
      </c>
      <c r="C400" s="145" t="s">
        <v>1650</v>
      </c>
      <c r="D400" s="129" t="s">
        <v>198</v>
      </c>
      <c r="E400" s="163"/>
      <c r="F400" s="149" t="s">
        <v>178</v>
      </c>
      <c r="G400" s="129"/>
      <c r="H400" s="166" t="s">
        <v>1651</v>
      </c>
      <c r="I400" s="163"/>
      <c r="J400" s="172"/>
      <c r="K400" s="172"/>
      <c r="L400" s="147" t="s">
        <v>182</v>
      </c>
      <c r="M400" s="125" t="s">
        <v>183</v>
      </c>
      <c r="N400" s="124">
        <f>SUM(O400:BO400)</f>
        <v>11500</v>
      </c>
      <c r="O400" s="127"/>
      <c r="P400" s="127"/>
      <c r="Q400" s="127"/>
      <c r="R400" s="127"/>
      <c r="S400" s="127"/>
      <c r="T400" s="127">
        <v>600</v>
      </c>
      <c r="U400" s="127"/>
      <c r="V400" s="127">
        <v>500</v>
      </c>
      <c r="W400" s="127"/>
      <c r="X400" s="127">
        <v>1500</v>
      </c>
      <c r="Y400" s="127">
        <v>1500</v>
      </c>
      <c r="Z400" s="127">
        <v>1500</v>
      </c>
      <c r="AA400" s="127">
        <v>1500</v>
      </c>
      <c r="AB400" s="127">
        <v>500</v>
      </c>
      <c r="AC400" s="127">
        <v>700</v>
      </c>
      <c r="AD400" s="127">
        <v>500</v>
      </c>
      <c r="AE400" s="127">
        <v>500</v>
      </c>
      <c r="AF400" s="127"/>
      <c r="AG400" s="127"/>
      <c r="AH400" s="127"/>
      <c r="AI400" s="127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/>
      <c r="AU400" s="127"/>
      <c r="AV400" s="127"/>
      <c r="AW400" s="127"/>
      <c r="AX400" s="127">
        <v>250</v>
      </c>
      <c r="AY400" s="127">
        <v>250</v>
      </c>
      <c r="AZ400" s="127">
        <v>250</v>
      </c>
      <c r="BA400" s="127">
        <v>250</v>
      </c>
      <c r="BB400" s="127">
        <v>600</v>
      </c>
      <c r="BC400" s="127"/>
      <c r="BD400" s="127">
        <v>600</v>
      </c>
      <c r="BE400" s="127"/>
      <c r="BF400" s="127"/>
      <c r="BG400" s="127"/>
      <c r="BH400" s="127"/>
      <c r="BI400" s="127"/>
      <c r="BJ400" s="127"/>
      <c r="BK400" s="127"/>
      <c r="BL400" s="127"/>
      <c r="BM400" s="127"/>
      <c r="BN400" s="127"/>
      <c r="BO400" s="127"/>
      <c r="BP400" s="127" t="s">
        <v>1465</v>
      </c>
      <c r="BQ400" s="165"/>
      <c r="BR400" s="165"/>
      <c r="BS400" s="165"/>
      <c r="BT400" s="165"/>
      <c r="BU400" s="165"/>
      <c r="BV400" s="165"/>
      <c r="BW400" s="165"/>
      <c r="BX400" s="165"/>
      <c r="BY400" s="165"/>
      <c r="BZ400" s="165"/>
    </row>
    <row r="401" spans="2:78" ht="12.75" customHeight="1" outlineLevel="2">
      <c r="B401" s="102" t="s">
        <v>1426</v>
      </c>
      <c r="C401" s="145" t="s">
        <v>1650</v>
      </c>
      <c r="D401" s="129" t="s">
        <v>198</v>
      </c>
      <c r="E401" s="163"/>
      <c r="F401" s="149" t="s">
        <v>178</v>
      </c>
      <c r="G401" s="129"/>
      <c r="H401" s="122" t="s">
        <v>1652</v>
      </c>
      <c r="I401" s="163"/>
      <c r="J401" s="172"/>
      <c r="K401" s="173" t="s">
        <v>1653</v>
      </c>
      <c r="L401" s="124" t="s">
        <v>182</v>
      </c>
      <c r="M401" s="125" t="s">
        <v>183</v>
      </c>
      <c r="N401" s="124">
        <f>SUM(O401:BO401)</f>
        <v>1100</v>
      </c>
      <c r="O401" s="127"/>
      <c r="P401" s="127"/>
      <c r="Q401" s="127"/>
      <c r="R401" s="127"/>
      <c r="S401" s="130">
        <v>600</v>
      </c>
      <c r="T401" s="127"/>
      <c r="U401" s="130">
        <v>500</v>
      </c>
      <c r="V401" s="127"/>
      <c r="W401" s="127"/>
      <c r="X401" s="127"/>
      <c r="Y401" s="127"/>
      <c r="Z401" s="127"/>
      <c r="AA401" s="127"/>
      <c r="AB401" s="127"/>
      <c r="AC401" s="127"/>
      <c r="AD401" s="127"/>
      <c r="AE401" s="127"/>
      <c r="AF401" s="127"/>
      <c r="AG401" s="127"/>
      <c r="AH401" s="127"/>
      <c r="AI401" s="127"/>
      <c r="AJ401" s="127"/>
      <c r="AK401" s="127"/>
      <c r="AL401" s="127"/>
      <c r="AM401" s="127"/>
      <c r="AN401" s="127"/>
      <c r="AO401" s="127"/>
      <c r="AP401" s="127"/>
      <c r="AQ401" s="127"/>
      <c r="AR401" s="127"/>
      <c r="AS401" s="127"/>
      <c r="AT401" s="127"/>
      <c r="AU401" s="127"/>
      <c r="AV401" s="127"/>
      <c r="AW401" s="127"/>
      <c r="AX401" s="127"/>
      <c r="AY401" s="127"/>
      <c r="AZ401" s="127"/>
      <c r="BA401" s="127"/>
      <c r="BB401" s="127"/>
      <c r="BC401" s="127"/>
      <c r="BD401" s="127"/>
      <c r="BE401" s="127"/>
      <c r="BF401" s="127"/>
      <c r="BG401" s="127"/>
      <c r="BH401" s="127"/>
      <c r="BI401" s="127"/>
      <c r="BJ401" s="127"/>
      <c r="BK401" s="127"/>
      <c r="BL401" s="127"/>
      <c r="BM401" s="127"/>
      <c r="BN401" s="127"/>
      <c r="BO401" s="127"/>
      <c r="BP401" s="127"/>
      <c r="BQ401" s="165"/>
      <c r="BR401" s="165"/>
      <c r="BS401" s="165"/>
      <c r="BT401" s="165"/>
      <c r="BU401" s="165"/>
      <c r="BV401" s="165"/>
      <c r="BW401" s="165"/>
      <c r="BX401" s="165"/>
      <c r="BY401" s="165"/>
      <c r="BZ401" s="165"/>
    </row>
    <row r="402" spans="2:78" s="139" customFormat="1" outlineLevel="1">
      <c r="C402" s="140" t="s">
        <v>1654</v>
      </c>
      <c r="H402" s="141"/>
      <c r="I402" s="141"/>
      <c r="J402" s="141"/>
      <c r="K402" s="141"/>
      <c r="L402" s="141"/>
      <c r="M402" s="142"/>
      <c r="N402" s="143">
        <f>SUBTOTAL(9,N400)</f>
        <v>11500</v>
      </c>
      <c r="O402" s="144">
        <f>SUBTOTAL(9,O400)</f>
        <v>0</v>
      </c>
      <c r="P402" s="144">
        <f t="shared" ref="P402:BO402" si="54">SUBTOTAL(9,P400)</f>
        <v>0</v>
      </c>
      <c r="Q402" s="144">
        <f t="shared" si="54"/>
        <v>0</v>
      </c>
      <c r="R402" s="144">
        <f t="shared" si="54"/>
        <v>0</v>
      </c>
      <c r="S402" s="144">
        <f t="shared" si="54"/>
        <v>0</v>
      </c>
      <c r="T402" s="144">
        <f t="shared" si="54"/>
        <v>600</v>
      </c>
      <c r="U402" s="144">
        <f t="shared" si="54"/>
        <v>0</v>
      </c>
      <c r="V402" s="144">
        <f t="shared" si="54"/>
        <v>500</v>
      </c>
      <c r="W402" s="144">
        <f t="shared" si="54"/>
        <v>0</v>
      </c>
      <c r="X402" s="144">
        <f t="shared" si="54"/>
        <v>1500</v>
      </c>
      <c r="Y402" s="144">
        <f t="shared" si="54"/>
        <v>1500</v>
      </c>
      <c r="Z402" s="144">
        <f t="shared" si="54"/>
        <v>1500</v>
      </c>
      <c r="AA402" s="144">
        <f t="shared" si="54"/>
        <v>1500</v>
      </c>
      <c r="AB402" s="144">
        <f t="shared" si="54"/>
        <v>500</v>
      </c>
      <c r="AC402" s="144">
        <f t="shared" si="54"/>
        <v>700</v>
      </c>
      <c r="AD402" s="144">
        <f t="shared" si="54"/>
        <v>500</v>
      </c>
      <c r="AE402" s="144">
        <f t="shared" si="54"/>
        <v>500</v>
      </c>
      <c r="AF402" s="144">
        <f t="shared" si="54"/>
        <v>0</v>
      </c>
      <c r="AG402" s="144">
        <f t="shared" si="54"/>
        <v>0</v>
      </c>
      <c r="AH402" s="144">
        <f t="shared" si="54"/>
        <v>0</v>
      </c>
      <c r="AI402" s="144">
        <f t="shared" si="54"/>
        <v>0</v>
      </c>
      <c r="AJ402" s="144">
        <f t="shared" si="54"/>
        <v>0</v>
      </c>
      <c r="AK402" s="144">
        <f t="shared" si="54"/>
        <v>0</v>
      </c>
      <c r="AL402" s="144">
        <f t="shared" si="54"/>
        <v>0</v>
      </c>
      <c r="AM402" s="144">
        <f t="shared" si="54"/>
        <v>0</v>
      </c>
      <c r="AN402" s="144">
        <f t="shared" si="54"/>
        <v>0</v>
      </c>
      <c r="AO402" s="144">
        <f t="shared" si="54"/>
        <v>0</v>
      </c>
      <c r="AP402" s="144">
        <f t="shared" si="54"/>
        <v>0</v>
      </c>
      <c r="AQ402" s="144">
        <f t="shared" si="54"/>
        <v>0</v>
      </c>
      <c r="AR402" s="144">
        <f t="shared" si="54"/>
        <v>0</v>
      </c>
      <c r="AS402" s="144">
        <f t="shared" si="54"/>
        <v>0</v>
      </c>
      <c r="AT402" s="144">
        <f t="shared" si="54"/>
        <v>0</v>
      </c>
      <c r="AU402" s="144">
        <f t="shared" si="54"/>
        <v>0</v>
      </c>
      <c r="AV402" s="144">
        <f t="shared" si="54"/>
        <v>0</v>
      </c>
      <c r="AW402" s="144">
        <f t="shared" si="54"/>
        <v>0</v>
      </c>
      <c r="AX402" s="144">
        <f t="shared" si="54"/>
        <v>250</v>
      </c>
      <c r="AY402" s="144">
        <f t="shared" si="54"/>
        <v>250</v>
      </c>
      <c r="AZ402" s="144">
        <f t="shared" si="54"/>
        <v>250</v>
      </c>
      <c r="BA402" s="144">
        <f t="shared" si="54"/>
        <v>250</v>
      </c>
      <c r="BB402" s="144">
        <f t="shared" si="54"/>
        <v>600</v>
      </c>
      <c r="BC402" s="144">
        <f t="shared" si="54"/>
        <v>0</v>
      </c>
      <c r="BD402" s="144">
        <f t="shared" si="54"/>
        <v>600</v>
      </c>
      <c r="BE402" s="144">
        <f t="shared" si="54"/>
        <v>0</v>
      </c>
      <c r="BF402" s="144">
        <f t="shared" si="54"/>
        <v>0</v>
      </c>
      <c r="BG402" s="144">
        <f t="shared" si="54"/>
        <v>0</v>
      </c>
      <c r="BH402" s="144">
        <f t="shared" si="54"/>
        <v>0</v>
      </c>
      <c r="BI402" s="144">
        <f t="shared" si="54"/>
        <v>0</v>
      </c>
      <c r="BJ402" s="144">
        <f t="shared" si="54"/>
        <v>0</v>
      </c>
      <c r="BK402" s="144">
        <f t="shared" si="54"/>
        <v>0</v>
      </c>
      <c r="BL402" s="144">
        <f t="shared" si="54"/>
        <v>0</v>
      </c>
      <c r="BM402" s="144">
        <f t="shared" si="54"/>
        <v>0</v>
      </c>
      <c r="BN402" s="144">
        <f t="shared" si="54"/>
        <v>0</v>
      </c>
      <c r="BO402" s="144">
        <f t="shared" si="54"/>
        <v>0</v>
      </c>
      <c r="BP402" s="144"/>
      <c r="BQ402" s="144"/>
      <c r="BR402" s="144"/>
      <c r="BS402" s="144"/>
      <c r="BT402" s="144"/>
      <c r="BU402" s="144"/>
      <c r="BV402" s="144"/>
      <c r="BW402" s="144"/>
      <c r="BX402" s="144"/>
      <c r="BY402" s="144"/>
      <c r="BZ402" s="144">
        <f>SUBTOTAL(9,BZ398:BZ399)</f>
        <v>0</v>
      </c>
    </row>
    <row r="403" spans="2:78" s="121" customFormat="1" outlineLevel="2">
      <c r="B403" s="121" t="s">
        <v>1426</v>
      </c>
      <c r="C403" s="121" t="s">
        <v>1655</v>
      </c>
      <c r="D403" s="145" t="s">
        <v>198</v>
      </c>
      <c r="F403" s="149" t="s">
        <v>178</v>
      </c>
      <c r="H403" s="124" t="s">
        <v>1656</v>
      </c>
      <c r="I403" s="124"/>
      <c r="J403" s="124"/>
      <c r="K403" s="124" t="s">
        <v>189</v>
      </c>
      <c r="L403" s="124" t="s">
        <v>491</v>
      </c>
      <c r="M403" s="125" t="s">
        <v>183</v>
      </c>
      <c r="N403" s="126">
        <f t="shared" ref="N403:N411" si="55">SUM(O403:BO403)</f>
        <v>644</v>
      </c>
      <c r="O403" s="127">
        <v>0</v>
      </c>
      <c r="P403" s="127"/>
      <c r="Q403" s="127"/>
      <c r="R403" s="127"/>
      <c r="S403" s="127"/>
      <c r="T403" s="127">
        <v>0</v>
      </c>
      <c r="U403" s="127"/>
      <c r="V403" s="127"/>
      <c r="W403" s="127"/>
      <c r="X403" s="127">
        <v>0</v>
      </c>
      <c r="Y403" s="127"/>
      <c r="Z403" s="127"/>
      <c r="AA403" s="127"/>
      <c r="AB403" s="127">
        <v>0</v>
      </c>
      <c r="AC403" s="127"/>
      <c r="AD403" s="127"/>
      <c r="AE403" s="127"/>
      <c r="AF403" s="127"/>
      <c r="AG403" s="127">
        <v>644</v>
      </c>
      <c r="AH403" s="127"/>
      <c r="AI403" s="127"/>
      <c r="AJ403" s="127"/>
      <c r="AK403" s="127">
        <v>0</v>
      </c>
      <c r="AL403" s="127"/>
      <c r="AM403" s="127"/>
      <c r="AN403" s="127"/>
      <c r="AO403" s="127">
        <v>0</v>
      </c>
      <c r="AP403" s="127"/>
      <c r="AQ403" s="127"/>
      <c r="AR403" s="127"/>
      <c r="AS403" s="127"/>
      <c r="AT403" s="127">
        <v>0</v>
      </c>
      <c r="AU403" s="127"/>
      <c r="AV403" s="127"/>
      <c r="AW403" s="127"/>
      <c r="AX403" s="127">
        <v>0</v>
      </c>
      <c r="AY403" s="127"/>
      <c r="AZ403" s="127"/>
      <c r="BA403" s="127"/>
      <c r="BB403" s="127">
        <v>0</v>
      </c>
      <c r="BC403" s="127"/>
      <c r="BD403" s="127"/>
      <c r="BE403" s="127"/>
      <c r="BF403" s="127"/>
      <c r="BG403" s="127">
        <v>0</v>
      </c>
      <c r="BH403" s="127"/>
      <c r="BI403" s="127"/>
      <c r="BJ403" s="127"/>
      <c r="BK403" s="127">
        <v>0</v>
      </c>
      <c r="BL403" s="127"/>
      <c r="BM403" s="127"/>
      <c r="BN403" s="127"/>
      <c r="BO403" s="127"/>
      <c r="BP403" s="127" t="s">
        <v>1657</v>
      </c>
      <c r="BQ403" s="127" t="s">
        <v>1658</v>
      </c>
      <c r="BR403" s="127" t="s">
        <v>1659</v>
      </c>
      <c r="BS403" s="127" t="s">
        <v>1660</v>
      </c>
      <c r="BT403" s="127" t="s">
        <v>188</v>
      </c>
      <c r="BU403" s="127" t="s">
        <v>499</v>
      </c>
      <c r="BV403" s="127" t="s">
        <v>229</v>
      </c>
      <c r="BW403" s="127" t="s">
        <v>343</v>
      </c>
      <c r="BX403" s="127" t="s">
        <v>1661</v>
      </c>
      <c r="BY403" s="127" t="s">
        <v>813</v>
      </c>
      <c r="BZ403" s="127" t="s">
        <v>569</v>
      </c>
    </row>
    <row r="404" spans="2:78" s="121" customFormat="1" outlineLevel="2">
      <c r="B404" s="121" t="s">
        <v>1426</v>
      </c>
      <c r="C404" s="121" t="s">
        <v>1655</v>
      </c>
      <c r="D404" s="145" t="s">
        <v>198</v>
      </c>
      <c r="F404" s="149" t="s">
        <v>178</v>
      </c>
      <c r="H404" s="124" t="s">
        <v>1662</v>
      </c>
      <c r="I404" s="124"/>
      <c r="J404" s="124"/>
      <c r="K404" s="124" t="s">
        <v>1663</v>
      </c>
      <c r="L404" s="124" t="s">
        <v>491</v>
      </c>
      <c r="M404" s="125" t="s">
        <v>183</v>
      </c>
      <c r="N404" s="126">
        <f t="shared" si="55"/>
        <v>440</v>
      </c>
      <c r="O404" s="127">
        <v>0</v>
      </c>
      <c r="P404" s="127"/>
      <c r="Q404" s="127"/>
      <c r="R404" s="127"/>
      <c r="S404" s="127"/>
      <c r="T404" s="127">
        <v>0</v>
      </c>
      <c r="U404" s="127"/>
      <c r="V404" s="127"/>
      <c r="W404" s="127"/>
      <c r="X404" s="127">
        <v>0</v>
      </c>
      <c r="Y404" s="127"/>
      <c r="Z404" s="127"/>
      <c r="AA404" s="127"/>
      <c r="AB404" s="127">
        <v>0</v>
      </c>
      <c r="AC404" s="127"/>
      <c r="AD404" s="127"/>
      <c r="AE404" s="127"/>
      <c r="AF404" s="127"/>
      <c r="AG404" s="127">
        <v>0</v>
      </c>
      <c r="AH404" s="127"/>
      <c r="AI404" s="127"/>
      <c r="AJ404" s="127"/>
      <c r="AK404" s="127">
        <v>440</v>
      </c>
      <c r="AL404" s="127"/>
      <c r="AM404" s="127"/>
      <c r="AN404" s="127"/>
      <c r="AO404" s="127">
        <v>0</v>
      </c>
      <c r="AP404" s="127"/>
      <c r="AQ404" s="127"/>
      <c r="AR404" s="127"/>
      <c r="AS404" s="127"/>
      <c r="AT404" s="127">
        <v>0</v>
      </c>
      <c r="AU404" s="127"/>
      <c r="AV404" s="127"/>
      <c r="AW404" s="127"/>
      <c r="AX404" s="127">
        <v>0</v>
      </c>
      <c r="AY404" s="127"/>
      <c r="AZ404" s="127"/>
      <c r="BA404" s="127"/>
      <c r="BB404" s="127">
        <v>0</v>
      </c>
      <c r="BC404" s="127"/>
      <c r="BD404" s="127"/>
      <c r="BE404" s="127"/>
      <c r="BF404" s="127"/>
      <c r="BG404" s="127">
        <v>0</v>
      </c>
      <c r="BH404" s="127"/>
      <c r="BI404" s="127"/>
      <c r="BJ404" s="127"/>
      <c r="BK404" s="127">
        <v>0</v>
      </c>
      <c r="BL404" s="127"/>
      <c r="BM404" s="127"/>
      <c r="BN404" s="127"/>
      <c r="BO404" s="127"/>
      <c r="BP404" s="127" t="s">
        <v>1664</v>
      </c>
      <c r="BQ404" s="127" t="s">
        <v>496</v>
      </c>
      <c r="BR404" s="127" t="s">
        <v>1665</v>
      </c>
      <c r="BS404" s="127" t="s">
        <v>1666</v>
      </c>
      <c r="BT404" s="127" t="s">
        <v>188</v>
      </c>
      <c r="BU404" s="127" t="s">
        <v>1012</v>
      </c>
      <c r="BV404" s="127" t="s">
        <v>205</v>
      </c>
      <c r="BW404" s="127" t="s">
        <v>343</v>
      </c>
      <c r="BX404" s="127" t="s">
        <v>1667</v>
      </c>
      <c r="BY404" s="127" t="s">
        <v>413</v>
      </c>
      <c r="BZ404" s="127" t="s">
        <v>569</v>
      </c>
    </row>
    <row r="405" spans="2:78" s="121" customFormat="1" outlineLevel="2">
      <c r="B405" s="121" t="s">
        <v>1426</v>
      </c>
      <c r="C405" s="121" t="s">
        <v>1655</v>
      </c>
      <c r="D405" s="145" t="s">
        <v>198</v>
      </c>
      <c r="F405" s="149" t="s">
        <v>178</v>
      </c>
      <c r="H405" s="124" t="s">
        <v>1668</v>
      </c>
      <c r="I405" s="124"/>
      <c r="J405" s="124"/>
      <c r="K405" s="124" t="s">
        <v>1669</v>
      </c>
      <c r="L405" s="124" t="s">
        <v>491</v>
      </c>
      <c r="M405" s="125" t="s">
        <v>183</v>
      </c>
      <c r="N405" s="126">
        <f>SUM(O405:BO405)</f>
        <v>1710</v>
      </c>
      <c r="O405" s="127">
        <v>0</v>
      </c>
      <c r="P405" s="127"/>
      <c r="Q405" s="127"/>
      <c r="R405" s="127"/>
      <c r="S405" s="127"/>
      <c r="T405" s="127">
        <v>0</v>
      </c>
      <c r="U405" s="127"/>
      <c r="V405" s="127"/>
      <c r="W405" s="127"/>
      <c r="X405" s="127">
        <v>0</v>
      </c>
      <c r="Y405" s="127"/>
      <c r="Z405" s="127"/>
      <c r="AA405" s="127"/>
      <c r="AB405" s="127">
        <v>1710</v>
      </c>
      <c r="AC405" s="127"/>
      <c r="AD405" s="127"/>
      <c r="AE405" s="127"/>
      <c r="AF405" s="127"/>
      <c r="AG405" s="127">
        <v>0</v>
      </c>
      <c r="AH405" s="127"/>
      <c r="AI405" s="127"/>
      <c r="AJ405" s="127"/>
      <c r="AK405" s="127">
        <v>0</v>
      </c>
      <c r="AL405" s="127"/>
      <c r="AM405" s="127"/>
      <c r="AN405" s="127"/>
      <c r="AO405" s="127">
        <v>0</v>
      </c>
      <c r="AP405" s="127"/>
      <c r="AQ405" s="127"/>
      <c r="AR405" s="127"/>
      <c r="AS405" s="127"/>
      <c r="AT405" s="127">
        <v>0</v>
      </c>
      <c r="AU405" s="127"/>
      <c r="AV405" s="127"/>
      <c r="AW405" s="127"/>
      <c r="AX405" s="127">
        <v>0</v>
      </c>
      <c r="AY405" s="127"/>
      <c r="AZ405" s="127"/>
      <c r="BA405" s="127"/>
      <c r="BB405" s="127">
        <v>0</v>
      </c>
      <c r="BC405" s="127"/>
      <c r="BD405" s="127"/>
      <c r="BE405" s="127"/>
      <c r="BF405" s="127"/>
      <c r="BG405" s="127">
        <v>0</v>
      </c>
      <c r="BH405" s="127"/>
      <c r="BI405" s="127"/>
      <c r="BJ405" s="127"/>
      <c r="BK405" s="127">
        <v>0</v>
      </c>
      <c r="BL405" s="127"/>
      <c r="BM405" s="127"/>
      <c r="BN405" s="127"/>
      <c r="BO405" s="127"/>
      <c r="BP405" s="127" t="s">
        <v>1670</v>
      </c>
      <c r="BQ405" s="127" t="s">
        <v>551</v>
      </c>
      <c r="BR405" s="127" t="s">
        <v>1671</v>
      </c>
      <c r="BS405" s="127" t="s">
        <v>1672</v>
      </c>
      <c r="BT405" s="127" t="s">
        <v>188</v>
      </c>
      <c r="BU405" s="127" t="s">
        <v>1012</v>
      </c>
      <c r="BV405" s="127" t="s">
        <v>205</v>
      </c>
      <c r="BW405" s="127" t="s">
        <v>191</v>
      </c>
      <c r="BX405" s="127" t="s">
        <v>1661</v>
      </c>
      <c r="BY405" s="127" t="s">
        <v>1136</v>
      </c>
      <c r="BZ405" s="127" t="s">
        <v>569</v>
      </c>
    </row>
    <row r="406" spans="2:78" s="121" customFormat="1" outlineLevel="2">
      <c r="B406" s="121" t="s">
        <v>1426</v>
      </c>
      <c r="C406" s="121" t="s">
        <v>1655</v>
      </c>
      <c r="D406" s="145" t="s">
        <v>198</v>
      </c>
      <c r="F406" s="149" t="s">
        <v>178</v>
      </c>
      <c r="G406" s="107" t="s">
        <v>199</v>
      </c>
      <c r="H406" s="122" t="s">
        <v>489</v>
      </c>
      <c r="I406" s="124"/>
      <c r="J406" s="124"/>
      <c r="K406" s="124" t="s">
        <v>1673</v>
      </c>
      <c r="L406" s="124" t="s">
        <v>491</v>
      </c>
      <c r="M406" s="125" t="s">
        <v>183</v>
      </c>
      <c r="N406" s="126">
        <f>SUM(O406:BO406)</f>
        <v>250</v>
      </c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30">
        <v>250</v>
      </c>
      <c r="AA406" s="127"/>
      <c r="AB406" s="127"/>
      <c r="AC406" s="127"/>
      <c r="AD406" s="127"/>
      <c r="AE406" s="127"/>
      <c r="AF406" s="127"/>
      <c r="AG406" s="127"/>
      <c r="AH406" s="127"/>
      <c r="AI406" s="127"/>
      <c r="AJ406" s="127"/>
      <c r="AK406" s="127"/>
      <c r="AL406" s="127"/>
      <c r="AM406" s="127"/>
      <c r="AN406" s="127"/>
      <c r="AO406" s="127"/>
      <c r="AP406" s="127"/>
      <c r="AQ406" s="127"/>
      <c r="AR406" s="127"/>
      <c r="AS406" s="127"/>
      <c r="AT406" s="127"/>
      <c r="AU406" s="127"/>
      <c r="AV406" s="127"/>
      <c r="AW406" s="127"/>
      <c r="AX406" s="127"/>
      <c r="AY406" s="127"/>
      <c r="AZ406" s="127"/>
      <c r="BA406" s="127"/>
      <c r="BB406" s="127"/>
      <c r="BC406" s="127"/>
      <c r="BD406" s="127"/>
      <c r="BE406" s="127"/>
      <c r="BF406" s="127"/>
      <c r="BG406" s="127"/>
      <c r="BH406" s="127"/>
      <c r="BI406" s="127"/>
      <c r="BJ406" s="127"/>
      <c r="BK406" s="127"/>
      <c r="BL406" s="127"/>
      <c r="BM406" s="127"/>
      <c r="BN406" s="127"/>
      <c r="BO406" s="127"/>
      <c r="BP406" s="127"/>
      <c r="BQ406" s="127"/>
      <c r="BR406" s="127"/>
      <c r="BS406" s="127"/>
      <c r="BT406" s="127"/>
      <c r="BU406" s="127"/>
      <c r="BV406" s="127"/>
      <c r="BW406" s="127"/>
      <c r="BX406" s="127"/>
      <c r="BY406" s="127"/>
      <c r="BZ406" s="131"/>
    </row>
    <row r="407" spans="2:78" s="121" customFormat="1" outlineLevel="2">
      <c r="B407" s="121" t="s">
        <v>1426</v>
      </c>
      <c r="C407" s="121" t="s">
        <v>1655</v>
      </c>
      <c r="D407" s="145" t="s">
        <v>198</v>
      </c>
      <c r="F407" s="149" t="s">
        <v>178</v>
      </c>
      <c r="H407" s="124" t="s">
        <v>1674</v>
      </c>
      <c r="I407" s="124"/>
      <c r="J407" s="124"/>
      <c r="K407" s="124" t="s">
        <v>1675</v>
      </c>
      <c r="L407" s="124" t="s">
        <v>491</v>
      </c>
      <c r="M407" s="125" t="s">
        <v>183</v>
      </c>
      <c r="N407" s="126">
        <f t="shared" si="55"/>
        <v>1350</v>
      </c>
      <c r="O407" s="127">
        <v>0</v>
      </c>
      <c r="P407" s="127"/>
      <c r="Q407" s="127"/>
      <c r="R407" s="127"/>
      <c r="S407" s="127"/>
      <c r="T407" s="127">
        <v>0</v>
      </c>
      <c r="U407" s="127"/>
      <c r="V407" s="127"/>
      <c r="W407" s="127"/>
      <c r="X407" s="127">
        <v>1350</v>
      </c>
      <c r="Y407" s="127"/>
      <c r="Z407" s="127"/>
      <c r="AA407" s="127"/>
      <c r="AB407" s="127">
        <v>0</v>
      </c>
      <c r="AC407" s="127"/>
      <c r="AD407" s="127"/>
      <c r="AE407" s="127"/>
      <c r="AF407" s="127"/>
      <c r="AG407" s="127">
        <v>0</v>
      </c>
      <c r="AH407" s="127"/>
      <c r="AI407" s="127"/>
      <c r="AJ407" s="127"/>
      <c r="AK407" s="127">
        <v>0</v>
      </c>
      <c r="AL407" s="127"/>
      <c r="AM407" s="127"/>
      <c r="AN407" s="127"/>
      <c r="AO407" s="127">
        <v>0</v>
      </c>
      <c r="AP407" s="127"/>
      <c r="AQ407" s="127"/>
      <c r="AR407" s="127"/>
      <c r="AS407" s="127"/>
      <c r="AT407" s="127">
        <v>0</v>
      </c>
      <c r="AU407" s="127"/>
      <c r="AV407" s="127"/>
      <c r="AW407" s="127"/>
      <c r="AX407" s="127">
        <v>0</v>
      </c>
      <c r="AY407" s="127"/>
      <c r="AZ407" s="127"/>
      <c r="BA407" s="127"/>
      <c r="BB407" s="127">
        <v>0</v>
      </c>
      <c r="BC407" s="127"/>
      <c r="BD407" s="127"/>
      <c r="BE407" s="127"/>
      <c r="BF407" s="127"/>
      <c r="BG407" s="127">
        <v>0</v>
      </c>
      <c r="BH407" s="127"/>
      <c r="BI407" s="127"/>
      <c r="BJ407" s="127"/>
      <c r="BK407" s="127">
        <v>0</v>
      </c>
      <c r="BL407" s="127"/>
      <c r="BM407" s="127"/>
      <c r="BN407" s="127"/>
      <c r="BO407" s="127"/>
      <c r="BP407" s="127" t="s">
        <v>1676</v>
      </c>
      <c r="BQ407" s="127" t="s">
        <v>1677</v>
      </c>
      <c r="BR407" s="127" t="s">
        <v>1678</v>
      </c>
      <c r="BS407" s="127" t="s">
        <v>1679</v>
      </c>
      <c r="BT407" s="127" t="s">
        <v>239</v>
      </c>
      <c r="BU407" s="127" t="s">
        <v>1012</v>
      </c>
      <c r="BV407" s="127" t="s">
        <v>205</v>
      </c>
      <c r="BW407" s="127" t="s">
        <v>191</v>
      </c>
      <c r="BX407" s="127" t="s">
        <v>1680</v>
      </c>
      <c r="BY407" s="127" t="s">
        <v>1681</v>
      </c>
      <c r="BZ407" s="127" t="s">
        <v>569</v>
      </c>
    </row>
    <row r="408" spans="2:78" s="121" customFormat="1" outlineLevel="2">
      <c r="B408" s="121" t="s">
        <v>1426</v>
      </c>
      <c r="C408" s="121" t="s">
        <v>1655</v>
      </c>
      <c r="D408" s="121" t="s">
        <v>195</v>
      </c>
      <c r="E408" s="102"/>
      <c r="F408" s="149" t="s">
        <v>178</v>
      </c>
      <c r="G408" s="107"/>
      <c r="H408" s="147" t="s">
        <v>1682</v>
      </c>
      <c r="I408" s="153" t="s">
        <v>1683</v>
      </c>
      <c r="J408" s="153"/>
      <c r="K408" s="153" t="s">
        <v>1684</v>
      </c>
      <c r="L408" s="153"/>
      <c r="M408" s="151" t="s">
        <v>249</v>
      </c>
      <c r="N408" s="124">
        <f t="shared" si="55"/>
        <v>1200</v>
      </c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  <c r="AB408" s="127"/>
      <c r="AC408" s="127"/>
      <c r="AD408" s="127"/>
      <c r="AE408" s="127"/>
      <c r="AF408" s="127"/>
      <c r="AG408" s="127"/>
      <c r="AH408" s="127"/>
      <c r="AI408" s="127"/>
      <c r="AJ408" s="127"/>
      <c r="AK408" s="127"/>
      <c r="AL408" s="127"/>
      <c r="AM408" s="127"/>
      <c r="AN408" s="127"/>
      <c r="AO408" s="127"/>
      <c r="AP408" s="127"/>
      <c r="AQ408" s="127"/>
      <c r="AR408" s="127"/>
      <c r="AS408" s="127"/>
      <c r="AT408" s="127"/>
      <c r="AU408" s="127">
        <v>1200</v>
      </c>
      <c r="AV408" s="127"/>
      <c r="AW408" s="127"/>
      <c r="AX408" s="127"/>
      <c r="AY408" s="127"/>
      <c r="AZ408" s="127"/>
      <c r="BA408" s="127"/>
      <c r="BB408" s="127"/>
      <c r="BC408" s="127"/>
      <c r="BD408" s="127"/>
      <c r="BE408" s="127"/>
      <c r="BF408" s="127"/>
      <c r="BG408" s="127"/>
      <c r="BH408" s="127"/>
      <c r="BI408" s="127"/>
      <c r="BJ408" s="127"/>
      <c r="BK408" s="127"/>
      <c r="BL408" s="127"/>
      <c r="BM408" s="127"/>
      <c r="BN408" s="127"/>
      <c r="BO408" s="127"/>
      <c r="BP408" s="127"/>
      <c r="BQ408" s="127"/>
      <c r="BR408" s="127"/>
      <c r="BS408" s="127"/>
      <c r="BT408" s="127"/>
      <c r="BU408" s="127"/>
      <c r="BV408" s="127"/>
      <c r="BW408" s="127"/>
      <c r="BX408" s="127"/>
      <c r="BY408" s="127"/>
      <c r="BZ408" s="127"/>
    </row>
    <row r="409" spans="2:78" s="121" customFormat="1" outlineLevel="2">
      <c r="B409" s="121" t="s">
        <v>1426</v>
      </c>
      <c r="C409" s="121" t="s">
        <v>1655</v>
      </c>
      <c r="D409" s="121" t="s">
        <v>195</v>
      </c>
      <c r="E409" s="102"/>
      <c r="F409" s="149" t="s">
        <v>178</v>
      </c>
      <c r="G409" s="107"/>
      <c r="H409" s="147" t="s">
        <v>1682</v>
      </c>
      <c r="I409" s="153" t="s">
        <v>1683</v>
      </c>
      <c r="J409" s="153"/>
      <c r="K409" s="153" t="s">
        <v>1685</v>
      </c>
      <c r="L409" s="153"/>
      <c r="M409" s="151" t="s">
        <v>249</v>
      </c>
      <c r="N409" s="124">
        <f>SUM(O409:BO409)</f>
        <v>2210</v>
      </c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  <c r="AC409" s="127"/>
      <c r="AD409" s="127"/>
      <c r="AE409" s="130">
        <v>1010</v>
      </c>
      <c r="AF409" s="127"/>
      <c r="AG409" s="127"/>
      <c r="AH409" s="127"/>
      <c r="AI409" s="127"/>
      <c r="AJ409" s="127"/>
      <c r="AK409" s="127"/>
      <c r="AL409" s="127"/>
      <c r="AM409" s="127"/>
      <c r="AN409" s="127"/>
      <c r="AO409" s="127"/>
      <c r="AP409" s="127"/>
      <c r="AQ409" s="127"/>
      <c r="AR409" s="127"/>
      <c r="AS409" s="127"/>
      <c r="AT409" s="127"/>
      <c r="AU409" s="127">
        <v>1200</v>
      </c>
      <c r="AV409" s="127"/>
      <c r="AW409" s="127"/>
      <c r="AX409" s="127"/>
      <c r="AY409" s="127"/>
      <c r="AZ409" s="127"/>
      <c r="BA409" s="127"/>
      <c r="BB409" s="127"/>
      <c r="BC409" s="127"/>
      <c r="BD409" s="127"/>
      <c r="BE409" s="127"/>
      <c r="BF409" s="127"/>
      <c r="BG409" s="127"/>
      <c r="BH409" s="127"/>
      <c r="BI409" s="127"/>
      <c r="BJ409" s="127"/>
      <c r="BK409" s="127"/>
      <c r="BL409" s="127"/>
      <c r="BM409" s="127"/>
      <c r="BN409" s="127"/>
      <c r="BO409" s="127"/>
      <c r="BP409" s="127"/>
      <c r="BQ409" s="127"/>
      <c r="BR409" s="127"/>
      <c r="BS409" s="127"/>
      <c r="BT409" s="127"/>
      <c r="BU409" s="127"/>
      <c r="BV409" s="127"/>
      <c r="BW409" s="127"/>
      <c r="BX409" s="127"/>
      <c r="BY409" s="127"/>
      <c r="BZ409" s="127"/>
    </row>
    <row r="410" spans="2:78" s="121" customFormat="1" outlineLevel="2">
      <c r="B410" s="121" t="s">
        <v>1426</v>
      </c>
      <c r="C410" s="121" t="s">
        <v>1655</v>
      </c>
      <c r="D410" s="121" t="s">
        <v>195</v>
      </c>
      <c r="E410" s="102"/>
      <c r="F410" s="149" t="s">
        <v>178</v>
      </c>
      <c r="G410" s="107"/>
      <c r="H410" s="147" t="s">
        <v>1682</v>
      </c>
      <c r="I410" s="153" t="s">
        <v>1683</v>
      </c>
      <c r="J410" s="153"/>
      <c r="K410" s="153" t="s">
        <v>1686</v>
      </c>
      <c r="L410" s="153"/>
      <c r="M410" s="151" t="s">
        <v>249</v>
      </c>
      <c r="N410" s="124">
        <f t="shared" si="55"/>
        <v>15220</v>
      </c>
      <c r="O410" s="127"/>
      <c r="P410" s="127"/>
      <c r="Q410" s="127"/>
      <c r="R410" s="127"/>
      <c r="S410" s="127"/>
      <c r="T410" s="127"/>
      <c r="U410" s="127"/>
      <c r="V410" s="127"/>
      <c r="W410" s="127"/>
      <c r="X410" s="130">
        <v>2400</v>
      </c>
      <c r="Y410" s="130">
        <v>2400</v>
      </c>
      <c r="Z410" s="130">
        <v>2400</v>
      </c>
      <c r="AA410" s="130">
        <v>1200</v>
      </c>
      <c r="AB410" s="127"/>
      <c r="AC410" s="127"/>
      <c r="AD410" s="127"/>
      <c r="AE410" s="127"/>
      <c r="AF410" s="130">
        <v>2020</v>
      </c>
      <c r="AG410" s="127"/>
      <c r="AH410" s="127"/>
      <c r="AI410" s="127"/>
      <c r="AJ410" s="127"/>
      <c r="AK410" s="127"/>
      <c r="AL410" s="127"/>
      <c r="AM410" s="127"/>
      <c r="AN410" s="127"/>
      <c r="AO410" s="127"/>
      <c r="AP410" s="127"/>
      <c r="AQ410" s="127"/>
      <c r="AR410" s="127"/>
      <c r="AS410" s="127"/>
      <c r="AT410" s="127"/>
      <c r="AU410" s="127">
        <v>1200</v>
      </c>
      <c r="AV410" s="127">
        <v>1200</v>
      </c>
      <c r="AW410" s="127">
        <v>2400</v>
      </c>
      <c r="AX410" s="127"/>
      <c r="AY410" s="127"/>
      <c r="AZ410" s="127"/>
      <c r="BA410" s="127"/>
      <c r="BB410" s="127"/>
      <c r="BC410" s="127"/>
      <c r="BD410" s="127"/>
      <c r="BE410" s="127"/>
      <c r="BF410" s="127"/>
      <c r="BG410" s="127"/>
      <c r="BH410" s="127"/>
      <c r="BI410" s="127"/>
      <c r="BJ410" s="127"/>
      <c r="BK410" s="127"/>
      <c r="BL410" s="127"/>
      <c r="BM410" s="127"/>
      <c r="BN410" s="127"/>
      <c r="BO410" s="127"/>
      <c r="BP410" s="127"/>
      <c r="BQ410" s="127"/>
      <c r="BR410" s="127"/>
      <c r="BS410" s="127"/>
      <c r="BT410" s="127"/>
      <c r="BU410" s="127"/>
      <c r="BV410" s="127"/>
      <c r="BW410" s="127"/>
      <c r="BX410" s="127"/>
      <c r="BY410" s="127"/>
      <c r="BZ410" s="127"/>
    </row>
    <row r="411" spans="2:78" ht="12.75" customHeight="1" outlineLevel="2">
      <c r="B411" s="102" t="s">
        <v>1426</v>
      </c>
      <c r="C411" s="129" t="s">
        <v>1655</v>
      </c>
      <c r="D411" s="129" t="s">
        <v>198</v>
      </c>
      <c r="E411" s="163"/>
      <c r="F411" s="149" t="s">
        <v>178</v>
      </c>
      <c r="G411" s="129"/>
      <c r="H411" s="166" t="s">
        <v>1687</v>
      </c>
      <c r="I411" s="163"/>
      <c r="J411" s="172"/>
      <c r="K411" s="147"/>
      <c r="L411" s="147" t="s">
        <v>491</v>
      </c>
      <c r="M411" s="125" t="s">
        <v>183</v>
      </c>
      <c r="N411" s="124">
        <f t="shared" si="55"/>
        <v>15000</v>
      </c>
      <c r="O411" s="127">
        <v>2000</v>
      </c>
      <c r="P411" s="127"/>
      <c r="Q411" s="127"/>
      <c r="R411" s="127"/>
      <c r="S411" s="127"/>
      <c r="T411" s="127">
        <v>2000</v>
      </c>
      <c r="U411" s="127"/>
      <c r="V411" s="127"/>
      <c r="W411" s="127"/>
      <c r="X411" s="127">
        <v>2000</v>
      </c>
      <c r="Y411" s="127"/>
      <c r="Z411" s="127"/>
      <c r="AA411" s="127"/>
      <c r="AB411" s="127">
        <v>2000</v>
      </c>
      <c r="AC411" s="127"/>
      <c r="AD411" s="127"/>
      <c r="AE411" s="127"/>
      <c r="AF411" s="127"/>
      <c r="AG411" s="127">
        <v>2000</v>
      </c>
      <c r="AH411" s="127"/>
      <c r="AI411" s="127"/>
      <c r="AJ411" s="127"/>
      <c r="AK411" s="127"/>
      <c r="AL411" s="127"/>
      <c r="AM411" s="127"/>
      <c r="AN411" s="127"/>
      <c r="AO411" s="127"/>
      <c r="AP411" s="127"/>
      <c r="AQ411" s="127"/>
      <c r="AR411" s="127"/>
      <c r="AS411" s="127"/>
      <c r="AT411" s="127"/>
      <c r="AU411" s="127"/>
      <c r="AV411" s="127"/>
      <c r="AW411" s="127"/>
      <c r="AX411" s="127">
        <v>1700</v>
      </c>
      <c r="AY411" s="127"/>
      <c r="AZ411" s="127"/>
      <c r="BA411" s="127"/>
      <c r="BB411" s="127">
        <v>1700</v>
      </c>
      <c r="BC411" s="127"/>
      <c r="BD411" s="127"/>
      <c r="BE411" s="127"/>
      <c r="BF411" s="127"/>
      <c r="BG411" s="127">
        <v>1600</v>
      </c>
      <c r="BH411" s="127"/>
      <c r="BI411" s="127"/>
      <c r="BJ411" s="127"/>
      <c r="BK411" s="127"/>
      <c r="BL411" s="127"/>
      <c r="BM411" s="127"/>
      <c r="BN411" s="127"/>
      <c r="BO411" s="127"/>
      <c r="BP411" s="127" t="s">
        <v>1465</v>
      </c>
      <c r="BQ411" s="165"/>
      <c r="BR411" s="165"/>
      <c r="BS411" s="165"/>
      <c r="BT411" s="165"/>
      <c r="BU411" s="165"/>
      <c r="BV411" s="165"/>
      <c r="BW411" s="165"/>
      <c r="BX411" s="165"/>
      <c r="BY411" s="165"/>
      <c r="BZ411" s="165"/>
    </row>
    <row r="412" spans="2:78" s="139" customFormat="1" outlineLevel="1">
      <c r="C412" s="140" t="s">
        <v>1688</v>
      </c>
      <c r="H412" s="141"/>
      <c r="I412" s="141"/>
      <c r="J412" s="141"/>
      <c r="K412" s="141"/>
      <c r="L412" s="141"/>
      <c r="M412" s="142"/>
      <c r="N412" s="143">
        <f>SUBTOTAL(9,N403:N411)</f>
        <v>38024</v>
      </c>
      <c r="O412" s="144">
        <f>SUBTOTAL(9,O403:O411)</f>
        <v>2000</v>
      </c>
      <c r="P412" s="144">
        <f t="shared" ref="P412:BO412" si="56">SUBTOTAL(9,P403:P411)</f>
        <v>0</v>
      </c>
      <c r="Q412" s="144">
        <f t="shared" si="56"/>
        <v>0</v>
      </c>
      <c r="R412" s="144">
        <f t="shared" si="56"/>
        <v>0</v>
      </c>
      <c r="S412" s="144">
        <f t="shared" si="56"/>
        <v>0</v>
      </c>
      <c r="T412" s="144">
        <f t="shared" si="56"/>
        <v>2000</v>
      </c>
      <c r="U412" s="144">
        <f t="shared" si="56"/>
        <v>0</v>
      </c>
      <c r="V412" s="144">
        <f t="shared" si="56"/>
        <v>0</v>
      </c>
      <c r="W412" s="144">
        <f t="shared" si="56"/>
        <v>0</v>
      </c>
      <c r="X412" s="144">
        <f t="shared" si="56"/>
        <v>5750</v>
      </c>
      <c r="Y412" s="144">
        <f t="shared" si="56"/>
        <v>2400</v>
      </c>
      <c r="Z412" s="144">
        <f t="shared" si="56"/>
        <v>2650</v>
      </c>
      <c r="AA412" s="144">
        <f t="shared" si="56"/>
        <v>1200</v>
      </c>
      <c r="AB412" s="144">
        <f t="shared" si="56"/>
        <v>3710</v>
      </c>
      <c r="AC412" s="144">
        <f t="shared" si="56"/>
        <v>0</v>
      </c>
      <c r="AD412" s="144">
        <f t="shared" si="56"/>
        <v>0</v>
      </c>
      <c r="AE412" s="144">
        <f t="shared" si="56"/>
        <v>1010</v>
      </c>
      <c r="AF412" s="144">
        <f t="shared" si="56"/>
        <v>2020</v>
      </c>
      <c r="AG412" s="144">
        <f t="shared" si="56"/>
        <v>2644</v>
      </c>
      <c r="AH412" s="144">
        <f t="shared" si="56"/>
        <v>0</v>
      </c>
      <c r="AI412" s="144">
        <f t="shared" si="56"/>
        <v>0</v>
      </c>
      <c r="AJ412" s="144">
        <f t="shared" si="56"/>
        <v>0</v>
      </c>
      <c r="AK412" s="144">
        <f t="shared" si="56"/>
        <v>440</v>
      </c>
      <c r="AL412" s="144">
        <f t="shared" si="56"/>
        <v>0</v>
      </c>
      <c r="AM412" s="144">
        <f t="shared" si="56"/>
        <v>0</v>
      </c>
      <c r="AN412" s="144">
        <f t="shared" si="56"/>
        <v>0</v>
      </c>
      <c r="AO412" s="144">
        <f t="shared" si="56"/>
        <v>0</v>
      </c>
      <c r="AP412" s="144">
        <f t="shared" si="56"/>
        <v>0</v>
      </c>
      <c r="AQ412" s="144">
        <f t="shared" si="56"/>
        <v>0</v>
      </c>
      <c r="AR412" s="144">
        <f t="shared" si="56"/>
        <v>0</v>
      </c>
      <c r="AS412" s="144">
        <f t="shared" si="56"/>
        <v>0</v>
      </c>
      <c r="AT412" s="144">
        <f t="shared" si="56"/>
        <v>0</v>
      </c>
      <c r="AU412" s="144">
        <f t="shared" si="56"/>
        <v>3600</v>
      </c>
      <c r="AV412" s="144">
        <f t="shared" si="56"/>
        <v>1200</v>
      </c>
      <c r="AW412" s="144">
        <f t="shared" si="56"/>
        <v>2400</v>
      </c>
      <c r="AX412" s="144">
        <f t="shared" si="56"/>
        <v>1700</v>
      </c>
      <c r="AY412" s="144">
        <f t="shared" si="56"/>
        <v>0</v>
      </c>
      <c r="AZ412" s="144">
        <f t="shared" si="56"/>
        <v>0</v>
      </c>
      <c r="BA412" s="144">
        <f t="shared" si="56"/>
        <v>0</v>
      </c>
      <c r="BB412" s="144">
        <f t="shared" si="56"/>
        <v>1700</v>
      </c>
      <c r="BC412" s="144">
        <f t="shared" si="56"/>
        <v>0</v>
      </c>
      <c r="BD412" s="144">
        <f t="shared" si="56"/>
        <v>0</v>
      </c>
      <c r="BE412" s="144">
        <f t="shared" si="56"/>
        <v>0</v>
      </c>
      <c r="BF412" s="144">
        <f t="shared" si="56"/>
        <v>0</v>
      </c>
      <c r="BG412" s="144">
        <f t="shared" si="56"/>
        <v>1600</v>
      </c>
      <c r="BH412" s="144">
        <f t="shared" si="56"/>
        <v>0</v>
      </c>
      <c r="BI412" s="144">
        <f t="shared" si="56"/>
        <v>0</v>
      </c>
      <c r="BJ412" s="144">
        <f t="shared" si="56"/>
        <v>0</v>
      </c>
      <c r="BK412" s="144">
        <f t="shared" si="56"/>
        <v>0</v>
      </c>
      <c r="BL412" s="144">
        <f t="shared" si="56"/>
        <v>0</v>
      </c>
      <c r="BM412" s="144">
        <f t="shared" si="56"/>
        <v>0</v>
      </c>
      <c r="BN412" s="144">
        <f t="shared" si="56"/>
        <v>0</v>
      </c>
      <c r="BO412" s="144">
        <f t="shared" si="56"/>
        <v>0</v>
      </c>
      <c r="BP412" s="144"/>
      <c r="BQ412" s="144"/>
      <c r="BR412" s="144"/>
      <c r="BS412" s="144"/>
      <c r="BT412" s="144"/>
      <c r="BU412" s="144"/>
      <c r="BV412" s="144"/>
      <c r="BW412" s="144"/>
      <c r="BX412" s="144"/>
      <c r="BY412" s="144"/>
      <c r="BZ412" s="144">
        <f>SUBTOTAL(9,BZ403:BZ404)</f>
        <v>0</v>
      </c>
    </row>
    <row r="413" spans="2:78" s="121" customFormat="1" outlineLevel="2">
      <c r="B413" s="121" t="s">
        <v>1426</v>
      </c>
      <c r="C413" s="121" t="s">
        <v>1689</v>
      </c>
      <c r="D413" s="145" t="s">
        <v>198</v>
      </c>
      <c r="F413" s="149" t="s">
        <v>178</v>
      </c>
      <c r="H413" s="124" t="s">
        <v>1690</v>
      </c>
      <c r="I413" s="124"/>
      <c r="J413" s="124"/>
      <c r="K413" s="124" t="s">
        <v>1691</v>
      </c>
      <c r="L413" s="124" t="s">
        <v>956</v>
      </c>
      <c r="M413" s="125" t="s">
        <v>183</v>
      </c>
      <c r="N413" s="126">
        <f>SUM(O413:BO413)</f>
        <v>867</v>
      </c>
      <c r="O413" s="127">
        <v>867</v>
      </c>
      <c r="P413" s="127"/>
      <c r="Q413" s="127"/>
      <c r="R413" s="127"/>
      <c r="S413" s="127"/>
      <c r="T413" s="127">
        <v>0</v>
      </c>
      <c r="U413" s="127"/>
      <c r="V413" s="127"/>
      <c r="W413" s="127"/>
      <c r="X413" s="127">
        <v>0</v>
      </c>
      <c r="Y413" s="127"/>
      <c r="Z413" s="127"/>
      <c r="AA413" s="127"/>
      <c r="AB413" s="127">
        <v>0</v>
      </c>
      <c r="AC413" s="127"/>
      <c r="AD413" s="127"/>
      <c r="AE413" s="127"/>
      <c r="AF413" s="127"/>
      <c r="AG413" s="127">
        <v>0</v>
      </c>
      <c r="AH413" s="127"/>
      <c r="AI413" s="127"/>
      <c r="AJ413" s="127"/>
      <c r="AK413" s="127">
        <v>0</v>
      </c>
      <c r="AL413" s="127"/>
      <c r="AM413" s="127"/>
      <c r="AN413" s="127"/>
      <c r="AO413" s="127">
        <v>0</v>
      </c>
      <c r="AP413" s="127"/>
      <c r="AQ413" s="127"/>
      <c r="AR413" s="127"/>
      <c r="AS413" s="127"/>
      <c r="AT413" s="127">
        <v>0</v>
      </c>
      <c r="AU413" s="127"/>
      <c r="AV413" s="127"/>
      <c r="AW413" s="127"/>
      <c r="AX413" s="127">
        <v>0</v>
      </c>
      <c r="AY413" s="127"/>
      <c r="AZ413" s="127"/>
      <c r="BA413" s="127"/>
      <c r="BB413" s="127">
        <v>0</v>
      </c>
      <c r="BC413" s="127"/>
      <c r="BD413" s="127"/>
      <c r="BE413" s="127"/>
      <c r="BF413" s="127"/>
      <c r="BG413" s="127">
        <v>0</v>
      </c>
      <c r="BH413" s="127"/>
      <c r="BI413" s="127"/>
      <c r="BJ413" s="127"/>
      <c r="BK413" s="127">
        <v>0</v>
      </c>
      <c r="BL413" s="127"/>
      <c r="BM413" s="127"/>
      <c r="BN413" s="127"/>
      <c r="BO413" s="127"/>
      <c r="BP413" s="127" t="s">
        <v>1692</v>
      </c>
      <c r="BQ413" s="127" t="s">
        <v>975</v>
      </c>
      <c r="BR413" s="127" t="s">
        <v>1693</v>
      </c>
      <c r="BS413" s="127" t="s">
        <v>1694</v>
      </c>
      <c r="BT413" s="127" t="s">
        <v>188</v>
      </c>
      <c r="BU413" s="127" t="s">
        <v>189</v>
      </c>
      <c r="BV413" s="127" t="s">
        <v>205</v>
      </c>
      <c r="BW413" s="127" t="s">
        <v>343</v>
      </c>
      <c r="BX413" s="127" t="s">
        <v>189</v>
      </c>
      <c r="BY413" s="127" t="s">
        <v>189</v>
      </c>
      <c r="BZ413" s="127" t="s">
        <v>990</v>
      </c>
    </row>
    <row r="414" spans="2:78" s="121" customFormat="1" outlineLevel="2">
      <c r="B414" s="121" t="s">
        <v>1426</v>
      </c>
      <c r="C414" s="121" t="s">
        <v>1689</v>
      </c>
      <c r="D414" s="145" t="s">
        <v>198</v>
      </c>
      <c r="F414" s="149" t="s">
        <v>178</v>
      </c>
      <c r="G414" s="107" t="s">
        <v>199</v>
      </c>
      <c r="H414" s="122" t="s">
        <v>1695</v>
      </c>
      <c r="I414" s="124"/>
      <c r="J414" s="124"/>
      <c r="K414" s="124" t="s">
        <v>1696</v>
      </c>
      <c r="L414" s="124" t="s">
        <v>956</v>
      </c>
      <c r="M414" s="125" t="s">
        <v>183</v>
      </c>
      <c r="N414" s="126">
        <f>SUM(O414:BO414)</f>
        <v>599</v>
      </c>
      <c r="O414" s="127"/>
      <c r="P414" s="130">
        <v>599</v>
      </c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  <c r="AB414" s="127"/>
      <c r="AC414" s="127"/>
      <c r="AD414" s="127"/>
      <c r="AE414" s="127"/>
      <c r="AF414" s="127"/>
      <c r="AG414" s="127"/>
      <c r="AH414" s="127"/>
      <c r="AI414" s="127"/>
      <c r="AJ414" s="127"/>
      <c r="AK414" s="127"/>
      <c r="AL414" s="127"/>
      <c r="AM414" s="127"/>
      <c r="AN414" s="127"/>
      <c r="AO414" s="127"/>
      <c r="AP414" s="127"/>
      <c r="AQ414" s="127"/>
      <c r="AR414" s="127"/>
      <c r="AS414" s="127"/>
      <c r="AT414" s="127"/>
      <c r="AU414" s="127"/>
      <c r="AV414" s="127"/>
      <c r="AW414" s="127"/>
      <c r="AX414" s="127"/>
      <c r="AY414" s="127"/>
      <c r="AZ414" s="127"/>
      <c r="BA414" s="127"/>
      <c r="BB414" s="127"/>
      <c r="BC414" s="127"/>
      <c r="BD414" s="127"/>
      <c r="BE414" s="127"/>
      <c r="BF414" s="127"/>
      <c r="BG414" s="127"/>
      <c r="BH414" s="127"/>
      <c r="BI414" s="127"/>
      <c r="BJ414" s="127"/>
      <c r="BK414" s="127"/>
      <c r="BL414" s="127"/>
      <c r="BM414" s="127"/>
      <c r="BN414" s="127"/>
      <c r="BO414" s="127"/>
      <c r="BP414" s="127"/>
      <c r="BQ414" s="127"/>
      <c r="BR414" s="127"/>
      <c r="BS414" s="127"/>
      <c r="BT414" s="127"/>
      <c r="BU414" s="127"/>
      <c r="BV414" s="127"/>
      <c r="BW414" s="127"/>
      <c r="BX414" s="127"/>
      <c r="BY414" s="127"/>
      <c r="BZ414" s="127"/>
    </row>
    <row r="415" spans="2:78" s="121" customFormat="1" outlineLevel="2">
      <c r="B415" s="121" t="s">
        <v>1426</v>
      </c>
      <c r="C415" s="121" t="s">
        <v>1689</v>
      </c>
      <c r="D415" s="145" t="s">
        <v>198</v>
      </c>
      <c r="F415" s="149" t="s">
        <v>178</v>
      </c>
      <c r="G415" s="107" t="s">
        <v>199</v>
      </c>
      <c r="H415" s="122" t="s">
        <v>1697</v>
      </c>
      <c r="I415" s="124"/>
      <c r="J415" s="124"/>
      <c r="K415" s="124" t="s">
        <v>1696</v>
      </c>
      <c r="L415" s="124" t="s">
        <v>956</v>
      </c>
      <c r="M415" s="125" t="s">
        <v>183</v>
      </c>
      <c r="N415" s="126">
        <f>SUM(O415:BO415)</f>
        <v>325</v>
      </c>
      <c r="O415" s="127"/>
      <c r="P415" s="130">
        <v>325</v>
      </c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  <c r="AB415" s="127"/>
      <c r="AC415" s="127"/>
      <c r="AD415" s="127"/>
      <c r="AE415" s="127"/>
      <c r="AF415" s="127"/>
      <c r="AG415" s="127"/>
      <c r="AH415" s="127"/>
      <c r="AI415" s="127"/>
      <c r="AJ415" s="127"/>
      <c r="AK415" s="127"/>
      <c r="AL415" s="127"/>
      <c r="AM415" s="127"/>
      <c r="AN415" s="127"/>
      <c r="AO415" s="127"/>
      <c r="AP415" s="127"/>
      <c r="AQ415" s="127"/>
      <c r="AR415" s="127"/>
      <c r="AS415" s="127"/>
      <c r="AT415" s="127"/>
      <c r="AU415" s="127"/>
      <c r="AV415" s="127"/>
      <c r="AW415" s="127"/>
      <c r="AX415" s="127"/>
      <c r="AY415" s="127"/>
      <c r="AZ415" s="127"/>
      <c r="BA415" s="127"/>
      <c r="BB415" s="127"/>
      <c r="BC415" s="127"/>
      <c r="BD415" s="127"/>
      <c r="BE415" s="127"/>
      <c r="BF415" s="127"/>
      <c r="BG415" s="127"/>
      <c r="BH415" s="127"/>
      <c r="BI415" s="127"/>
      <c r="BJ415" s="127"/>
      <c r="BK415" s="127"/>
      <c r="BL415" s="127"/>
      <c r="BM415" s="127"/>
      <c r="BN415" s="127"/>
      <c r="BO415" s="127"/>
      <c r="BP415" s="127"/>
      <c r="BQ415" s="127"/>
      <c r="BR415" s="127"/>
      <c r="BS415" s="127"/>
      <c r="BT415" s="127"/>
      <c r="BU415" s="127"/>
      <c r="BV415" s="127"/>
      <c r="BW415" s="127"/>
      <c r="BX415" s="127"/>
      <c r="BY415" s="127"/>
      <c r="BZ415" s="127"/>
    </row>
    <row r="416" spans="2:78" ht="12.75" customHeight="1" outlineLevel="2">
      <c r="B416" s="102" t="s">
        <v>1426</v>
      </c>
      <c r="C416" s="129" t="s">
        <v>1689</v>
      </c>
      <c r="D416" s="129" t="s">
        <v>198</v>
      </c>
      <c r="E416" s="163"/>
      <c r="F416" s="149" t="s">
        <v>178</v>
      </c>
      <c r="G416" s="129"/>
      <c r="H416" s="166" t="s">
        <v>1698</v>
      </c>
      <c r="I416" s="147"/>
      <c r="J416" s="147"/>
      <c r="K416" s="147"/>
      <c r="L416" s="147" t="s">
        <v>956</v>
      </c>
      <c r="M416" s="125" t="s">
        <v>183</v>
      </c>
      <c r="N416" s="124">
        <f>SUM(O416:BO416)</f>
        <v>12000</v>
      </c>
      <c r="O416" s="127">
        <v>1600</v>
      </c>
      <c r="P416" s="127"/>
      <c r="Q416" s="127"/>
      <c r="R416" s="127"/>
      <c r="S416" s="127"/>
      <c r="T416" s="127">
        <v>1600</v>
      </c>
      <c r="U416" s="127"/>
      <c r="V416" s="127"/>
      <c r="W416" s="127"/>
      <c r="X416" s="127">
        <v>1600</v>
      </c>
      <c r="Y416" s="127"/>
      <c r="Z416" s="127"/>
      <c r="AA416" s="127"/>
      <c r="AB416" s="127">
        <v>1600</v>
      </c>
      <c r="AC416" s="127"/>
      <c r="AD416" s="127"/>
      <c r="AE416" s="127"/>
      <c r="AF416" s="127"/>
      <c r="AG416" s="127">
        <v>1600</v>
      </c>
      <c r="AH416" s="127"/>
      <c r="AI416" s="127"/>
      <c r="AJ416" s="127"/>
      <c r="AK416" s="127"/>
      <c r="AL416" s="127"/>
      <c r="AM416" s="127"/>
      <c r="AN416" s="127"/>
      <c r="AO416" s="127"/>
      <c r="AP416" s="127"/>
      <c r="AQ416" s="127"/>
      <c r="AR416" s="127"/>
      <c r="AS416" s="127"/>
      <c r="AT416" s="127"/>
      <c r="AU416" s="127"/>
      <c r="AV416" s="127"/>
      <c r="AW416" s="127"/>
      <c r="AX416" s="127">
        <v>1500</v>
      </c>
      <c r="AY416" s="127"/>
      <c r="AZ416" s="127"/>
      <c r="BA416" s="127"/>
      <c r="BB416" s="127">
        <v>1500</v>
      </c>
      <c r="BC416" s="127"/>
      <c r="BD416" s="127"/>
      <c r="BE416" s="127"/>
      <c r="BF416" s="127"/>
      <c r="BG416" s="127">
        <v>1000</v>
      </c>
      <c r="BH416" s="127"/>
      <c r="BI416" s="127"/>
      <c r="BJ416" s="127"/>
      <c r="BK416" s="127"/>
      <c r="BL416" s="127"/>
      <c r="BM416" s="127"/>
      <c r="BN416" s="127"/>
      <c r="BO416" s="127"/>
      <c r="BP416" s="127" t="s">
        <v>1465</v>
      </c>
      <c r="BQ416" s="165"/>
      <c r="BR416" s="165"/>
      <c r="BS416" s="165"/>
      <c r="BT416" s="165"/>
      <c r="BU416" s="165"/>
      <c r="BV416" s="165"/>
      <c r="BW416" s="165"/>
      <c r="BX416" s="165"/>
      <c r="BY416" s="165"/>
      <c r="BZ416" s="165"/>
    </row>
    <row r="417" spans="2:78" s="139" customFormat="1" outlineLevel="1">
      <c r="C417" s="140" t="s">
        <v>1699</v>
      </c>
      <c r="H417" s="141"/>
      <c r="I417" s="141"/>
      <c r="J417" s="141"/>
      <c r="K417" s="141"/>
      <c r="L417" s="141"/>
      <c r="M417" s="142"/>
      <c r="N417" s="143">
        <f>SUBTOTAL(9,N413:N416)</f>
        <v>13791</v>
      </c>
      <c r="O417" s="144">
        <f>SUBTOTAL(9,O413:O416)</f>
        <v>2467</v>
      </c>
      <c r="P417" s="144">
        <f t="shared" ref="P417:BO417" si="57">SUBTOTAL(9,P413:P416)</f>
        <v>924</v>
      </c>
      <c r="Q417" s="144">
        <f t="shared" si="57"/>
        <v>0</v>
      </c>
      <c r="R417" s="144">
        <f t="shared" si="57"/>
        <v>0</v>
      </c>
      <c r="S417" s="144">
        <f t="shared" si="57"/>
        <v>0</v>
      </c>
      <c r="T417" s="144">
        <f t="shared" si="57"/>
        <v>1600</v>
      </c>
      <c r="U417" s="144">
        <f t="shared" si="57"/>
        <v>0</v>
      </c>
      <c r="V417" s="144">
        <f t="shared" si="57"/>
        <v>0</v>
      </c>
      <c r="W417" s="144">
        <f t="shared" si="57"/>
        <v>0</v>
      </c>
      <c r="X417" s="144">
        <f t="shared" si="57"/>
        <v>1600</v>
      </c>
      <c r="Y417" s="144">
        <f t="shared" si="57"/>
        <v>0</v>
      </c>
      <c r="Z417" s="144">
        <f t="shared" si="57"/>
        <v>0</v>
      </c>
      <c r="AA417" s="144">
        <f t="shared" si="57"/>
        <v>0</v>
      </c>
      <c r="AB417" s="144">
        <f t="shared" si="57"/>
        <v>1600</v>
      </c>
      <c r="AC417" s="144">
        <f t="shared" si="57"/>
        <v>0</v>
      </c>
      <c r="AD417" s="144">
        <f t="shared" si="57"/>
        <v>0</v>
      </c>
      <c r="AE417" s="144">
        <f t="shared" si="57"/>
        <v>0</v>
      </c>
      <c r="AF417" s="144">
        <f t="shared" si="57"/>
        <v>0</v>
      </c>
      <c r="AG417" s="144">
        <f t="shared" si="57"/>
        <v>1600</v>
      </c>
      <c r="AH417" s="144">
        <f t="shared" si="57"/>
        <v>0</v>
      </c>
      <c r="AI417" s="144">
        <f t="shared" si="57"/>
        <v>0</v>
      </c>
      <c r="AJ417" s="144">
        <f t="shared" si="57"/>
        <v>0</v>
      </c>
      <c r="AK417" s="144">
        <f t="shared" si="57"/>
        <v>0</v>
      </c>
      <c r="AL417" s="144">
        <f t="shared" si="57"/>
        <v>0</v>
      </c>
      <c r="AM417" s="144">
        <f t="shared" si="57"/>
        <v>0</v>
      </c>
      <c r="AN417" s="144">
        <f t="shared" si="57"/>
        <v>0</v>
      </c>
      <c r="AO417" s="144">
        <f t="shared" si="57"/>
        <v>0</v>
      </c>
      <c r="AP417" s="144">
        <f t="shared" si="57"/>
        <v>0</v>
      </c>
      <c r="AQ417" s="144">
        <f t="shared" si="57"/>
        <v>0</v>
      </c>
      <c r="AR417" s="144">
        <f t="shared" si="57"/>
        <v>0</v>
      </c>
      <c r="AS417" s="144">
        <f t="shared" si="57"/>
        <v>0</v>
      </c>
      <c r="AT417" s="144">
        <f t="shared" si="57"/>
        <v>0</v>
      </c>
      <c r="AU417" s="144">
        <f t="shared" si="57"/>
        <v>0</v>
      </c>
      <c r="AV417" s="144">
        <f t="shared" si="57"/>
        <v>0</v>
      </c>
      <c r="AW417" s="144">
        <f t="shared" si="57"/>
        <v>0</v>
      </c>
      <c r="AX417" s="144">
        <f t="shared" si="57"/>
        <v>1500</v>
      </c>
      <c r="AY417" s="144">
        <f t="shared" si="57"/>
        <v>0</v>
      </c>
      <c r="AZ417" s="144">
        <f t="shared" si="57"/>
        <v>0</v>
      </c>
      <c r="BA417" s="144">
        <f t="shared" si="57"/>
        <v>0</v>
      </c>
      <c r="BB417" s="144">
        <f t="shared" si="57"/>
        <v>1500</v>
      </c>
      <c r="BC417" s="144">
        <f t="shared" si="57"/>
        <v>0</v>
      </c>
      <c r="BD417" s="144">
        <f t="shared" si="57"/>
        <v>0</v>
      </c>
      <c r="BE417" s="144">
        <f t="shared" si="57"/>
        <v>0</v>
      </c>
      <c r="BF417" s="144">
        <f t="shared" si="57"/>
        <v>0</v>
      </c>
      <c r="BG417" s="144">
        <f t="shared" si="57"/>
        <v>1000</v>
      </c>
      <c r="BH417" s="144">
        <f t="shared" si="57"/>
        <v>0</v>
      </c>
      <c r="BI417" s="144">
        <f t="shared" si="57"/>
        <v>0</v>
      </c>
      <c r="BJ417" s="144">
        <f t="shared" si="57"/>
        <v>0</v>
      </c>
      <c r="BK417" s="144">
        <f t="shared" si="57"/>
        <v>0</v>
      </c>
      <c r="BL417" s="144">
        <f t="shared" si="57"/>
        <v>0</v>
      </c>
      <c r="BM417" s="144">
        <f t="shared" si="57"/>
        <v>0</v>
      </c>
      <c r="BN417" s="144">
        <f t="shared" si="57"/>
        <v>0</v>
      </c>
      <c r="BO417" s="144">
        <f t="shared" si="57"/>
        <v>0</v>
      </c>
      <c r="BP417" s="144"/>
      <c r="BQ417" s="144"/>
      <c r="BR417" s="144"/>
      <c r="BS417" s="144"/>
      <c r="BT417" s="144"/>
      <c r="BU417" s="144"/>
      <c r="BV417" s="144"/>
      <c r="BW417" s="144"/>
      <c r="BX417" s="144"/>
      <c r="BY417" s="144"/>
      <c r="BZ417" s="144">
        <f>SUBTOTAL(9,BZ413:BZ413)</f>
        <v>0</v>
      </c>
    </row>
    <row r="418" spans="2:78" s="121" customFormat="1" outlineLevel="2">
      <c r="B418" s="121" t="s">
        <v>1426</v>
      </c>
      <c r="C418" s="121" t="s">
        <v>1700</v>
      </c>
      <c r="D418" s="121" t="s">
        <v>198</v>
      </c>
      <c r="F418" s="149" t="s">
        <v>178</v>
      </c>
      <c r="G418" s="107" t="s">
        <v>199</v>
      </c>
      <c r="H418" s="122" t="s">
        <v>658</v>
      </c>
      <c r="I418" s="124"/>
      <c r="J418" s="124"/>
      <c r="K418" s="124" t="s">
        <v>1701</v>
      </c>
      <c r="L418" s="124" t="s">
        <v>273</v>
      </c>
      <c r="M418" s="125" t="s">
        <v>183</v>
      </c>
      <c r="N418" s="126">
        <f t="shared" ref="N418:N424" si="58">SUM(O418:BO418)</f>
        <v>600</v>
      </c>
      <c r="O418" s="127"/>
      <c r="P418" s="130">
        <v>600</v>
      </c>
      <c r="Q418" s="127"/>
      <c r="R418" s="127"/>
      <c r="S418" s="127"/>
      <c r="T418" s="127">
        <v>0</v>
      </c>
      <c r="U418" s="127"/>
      <c r="V418" s="127"/>
      <c r="W418" s="127"/>
      <c r="X418" s="127">
        <v>0</v>
      </c>
      <c r="Y418" s="127"/>
      <c r="Z418" s="127"/>
      <c r="AA418" s="127"/>
      <c r="AB418" s="127">
        <v>0</v>
      </c>
      <c r="AC418" s="127"/>
      <c r="AD418" s="127"/>
      <c r="AE418" s="127"/>
      <c r="AF418" s="127"/>
      <c r="AG418" s="127">
        <v>0</v>
      </c>
      <c r="AH418" s="127"/>
      <c r="AI418" s="127"/>
      <c r="AJ418" s="127"/>
      <c r="AK418" s="127">
        <v>0</v>
      </c>
      <c r="AL418" s="127"/>
      <c r="AM418" s="127"/>
      <c r="AN418" s="127"/>
      <c r="AO418" s="127">
        <v>0</v>
      </c>
      <c r="AP418" s="127"/>
      <c r="AQ418" s="127"/>
      <c r="AR418" s="127"/>
      <c r="AS418" s="127"/>
      <c r="AT418" s="127">
        <v>0</v>
      </c>
      <c r="AU418" s="127"/>
      <c r="AV418" s="127"/>
      <c r="AW418" s="127"/>
      <c r="AX418" s="127">
        <v>0</v>
      </c>
      <c r="AY418" s="127"/>
      <c r="AZ418" s="127"/>
      <c r="BA418" s="127"/>
      <c r="BB418" s="127">
        <v>0</v>
      </c>
      <c r="BC418" s="127"/>
      <c r="BD418" s="127"/>
      <c r="BE418" s="127"/>
      <c r="BF418" s="127"/>
      <c r="BG418" s="127">
        <v>0</v>
      </c>
      <c r="BH418" s="127"/>
      <c r="BI418" s="127"/>
      <c r="BJ418" s="127"/>
      <c r="BK418" s="127">
        <v>0</v>
      </c>
      <c r="BL418" s="127"/>
      <c r="BM418" s="127"/>
      <c r="BN418" s="127"/>
      <c r="BO418" s="127"/>
      <c r="BP418" s="127" t="s">
        <v>660</v>
      </c>
      <c r="BQ418" s="127" t="s">
        <v>661</v>
      </c>
      <c r="BR418" s="127" t="s">
        <v>662</v>
      </c>
      <c r="BS418" s="127" t="s">
        <v>663</v>
      </c>
      <c r="BT418" s="127" t="s">
        <v>188</v>
      </c>
      <c r="BU418" s="127" t="s">
        <v>189</v>
      </c>
      <c r="BV418" s="127" t="s">
        <v>205</v>
      </c>
      <c r="BW418" s="127" t="s">
        <v>343</v>
      </c>
      <c r="BX418" s="127" t="s">
        <v>305</v>
      </c>
      <c r="BY418" s="127" t="s">
        <v>378</v>
      </c>
      <c r="BZ418" s="131" t="s">
        <v>433</v>
      </c>
    </row>
    <row r="419" spans="2:78" s="121" customFormat="1" outlineLevel="2">
      <c r="B419" s="121" t="s">
        <v>1426</v>
      </c>
      <c r="C419" s="121" t="s">
        <v>1700</v>
      </c>
      <c r="D419" s="145" t="s">
        <v>198</v>
      </c>
      <c r="F419" s="149" t="s">
        <v>178</v>
      </c>
      <c r="H419" s="122" t="s">
        <v>1702</v>
      </c>
      <c r="I419" s="124"/>
      <c r="J419" s="124"/>
      <c r="K419" s="124" t="s">
        <v>1703</v>
      </c>
      <c r="L419" s="124" t="s">
        <v>273</v>
      </c>
      <c r="M419" s="125" t="s">
        <v>183</v>
      </c>
      <c r="N419" s="126">
        <f t="shared" si="58"/>
        <v>950</v>
      </c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  <c r="AB419" s="127"/>
      <c r="AC419" s="127"/>
      <c r="AD419" s="127"/>
      <c r="AE419" s="127"/>
      <c r="AF419" s="127"/>
      <c r="AG419" s="127"/>
      <c r="AH419" s="127"/>
      <c r="AI419" s="127"/>
      <c r="AJ419" s="127"/>
      <c r="AK419" s="127">
        <v>350</v>
      </c>
      <c r="AL419" s="127"/>
      <c r="AM419" s="127"/>
      <c r="AN419" s="127"/>
      <c r="AO419" s="127"/>
      <c r="AP419" s="127"/>
      <c r="AQ419" s="127"/>
      <c r="AR419" s="127"/>
      <c r="AS419" s="127"/>
      <c r="AT419" s="127"/>
      <c r="AU419" s="127"/>
      <c r="AV419" s="127"/>
      <c r="AW419" s="127"/>
      <c r="AX419" s="127"/>
      <c r="AY419" s="127">
        <v>600</v>
      </c>
      <c r="AZ419" s="127"/>
      <c r="BA419" s="127"/>
      <c r="BB419" s="127"/>
      <c r="BC419" s="127"/>
      <c r="BD419" s="127"/>
      <c r="BE419" s="127"/>
      <c r="BF419" s="127"/>
      <c r="BG419" s="127"/>
      <c r="BH419" s="127"/>
      <c r="BI419" s="127"/>
      <c r="BJ419" s="127"/>
      <c r="BK419" s="127"/>
      <c r="BL419" s="127"/>
      <c r="BM419" s="127"/>
      <c r="BN419" s="127"/>
      <c r="BO419" s="127"/>
      <c r="BP419" s="127"/>
      <c r="BQ419" s="127"/>
      <c r="BR419" s="127"/>
      <c r="BS419" s="127"/>
      <c r="BT419" s="127"/>
      <c r="BU419" s="127"/>
      <c r="BV419" s="127"/>
      <c r="BW419" s="127"/>
      <c r="BX419" s="127"/>
      <c r="BY419" s="127"/>
      <c r="BZ419" s="127"/>
    </row>
    <row r="420" spans="2:78" s="121" customFormat="1" outlineLevel="2">
      <c r="B420" s="121" t="s">
        <v>1426</v>
      </c>
      <c r="C420" s="129" t="s">
        <v>1700</v>
      </c>
      <c r="D420" s="145" t="s">
        <v>198</v>
      </c>
      <c r="F420" s="149" t="s">
        <v>178</v>
      </c>
      <c r="H420" s="122" t="s">
        <v>1704</v>
      </c>
      <c r="I420" s="124"/>
      <c r="J420" s="124"/>
      <c r="K420" s="124" t="s">
        <v>1705</v>
      </c>
      <c r="L420" s="124" t="s">
        <v>273</v>
      </c>
      <c r="M420" s="125" t="s">
        <v>183</v>
      </c>
      <c r="N420" s="126">
        <f t="shared" si="58"/>
        <v>2000</v>
      </c>
      <c r="O420" s="127">
        <v>0</v>
      </c>
      <c r="P420" s="127"/>
      <c r="Q420" s="127"/>
      <c r="R420" s="127"/>
      <c r="S420" s="127"/>
      <c r="T420" s="127">
        <v>0</v>
      </c>
      <c r="U420" s="127"/>
      <c r="V420" s="127"/>
      <c r="W420" s="127"/>
      <c r="X420" s="127">
        <v>0</v>
      </c>
      <c r="Y420" s="127"/>
      <c r="Z420" s="127"/>
      <c r="AA420" s="127"/>
      <c r="AB420" s="127">
        <v>0</v>
      </c>
      <c r="AC420" s="127"/>
      <c r="AD420" s="127"/>
      <c r="AE420" s="127"/>
      <c r="AF420" s="127"/>
      <c r="AG420" s="127">
        <v>0</v>
      </c>
      <c r="AH420" s="127"/>
      <c r="AI420" s="127"/>
      <c r="AJ420" s="127"/>
      <c r="AK420" s="127">
        <v>0</v>
      </c>
      <c r="AL420" s="127"/>
      <c r="AM420" s="127"/>
      <c r="AN420" s="127"/>
      <c r="AO420" s="127">
        <v>0</v>
      </c>
      <c r="AP420" s="127"/>
      <c r="AQ420" s="127"/>
      <c r="AR420" s="127"/>
      <c r="AS420" s="127"/>
      <c r="AT420" s="127">
        <v>0</v>
      </c>
      <c r="AU420" s="127"/>
      <c r="AV420" s="127"/>
      <c r="AW420" s="127"/>
      <c r="AX420" s="127">
        <v>0</v>
      </c>
      <c r="AY420" s="127"/>
      <c r="AZ420" s="127"/>
      <c r="BA420" s="127"/>
      <c r="BB420" s="127">
        <v>0</v>
      </c>
      <c r="BC420" s="127">
        <v>2000</v>
      </c>
      <c r="BD420" s="127"/>
      <c r="BE420" s="127"/>
      <c r="BF420" s="127"/>
      <c r="BG420" s="127"/>
      <c r="BH420" s="127"/>
      <c r="BI420" s="127"/>
      <c r="BJ420" s="127"/>
      <c r="BK420" s="127">
        <v>0</v>
      </c>
      <c r="BL420" s="127"/>
      <c r="BM420" s="127"/>
      <c r="BN420" s="127"/>
      <c r="BO420" s="127"/>
      <c r="BP420" s="127" t="s">
        <v>1706</v>
      </c>
      <c r="BQ420" s="127" t="s">
        <v>410</v>
      </c>
      <c r="BR420" s="127" t="s">
        <v>1707</v>
      </c>
      <c r="BS420" s="127" t="s">
        <v>1708</v>
      </c>
      <c r="BT420" s="127" t="s">
        <v>303</v>
      </c>
      <c r="BU420" s="127" t="s">
        <v>189</v>
      </c>
      <c r="BV420" s="127" t="s">
        <v>205</v>
      </c>
      <c r="BW420" s="127" t="s">
        <v>191</v>
      </c>
      <c r="BX420" s="127" t="s">
        <v>305</v>
      </c>
      <c r="BY420" s="127" t="s">
        <v>1709</v>
      </c>
      <c r="BZ420" s="131" t="s">
        <v>433</v>
      </c>
    </row>
    <row r="421" spans="2:78" s="121" customFormat="1" outlineLevel="2">
      <c r="B421" s="121" t="s">
        <v>1426</v>
      </c>
      <c r="C421" s="129" t="s">
        <v>1700</v>
      </c>
      <c r="D421" s="145" t="s">
        <v>198</v>
      </c>
      <c r="F421" s="149" t="s">
        <v>178</v>
      </c>
      <c r="H421" s="122" t="s">
        <v>1710</v>
      </c>
      <c r="I421" s="124"/>
      <c r="J421" s="124"/>
      <c r="K421" s="124" t="s">
        <v>1701</v>
      </c>
      <c r="L421" s="124" t="s">
        <v>273</v>
      </c>
      <c r="M421" s="125" t="s">
        <v>183</v>
      </c>
      <c r="N421" s="126">
        <f t="shared" si="58"/>
        <v>600</v>
      </c>
      <c r="O421" s="127">
        <v>0</v>
      </c>
      <c r="P421" s="127"/>
      <c r="Q421" s="127"/>
      <c r="R421" s="127"/>
      <c r="S421" s="127"/>
      <c r="T421" s="127">
        <v>0</v>
      </c>
      <c r="U421" s="127"/>
      <c r="V421" s="127"/>
      <c r="W421" s="127"/>
      <c r="X421" s="127">
        <v>0</v>
      </c>
      <c r="Y421" s="127"/>
      <c r="Z421" s="127"/>
      <c r="AA421" s="127"/>
      <c r="AB421" s="127">
        <v>0</v>
      </c>
      <c r="AC421" s="127"/>
      <c r="AD421" s="127"/>
      <c r="AE421" s="127"/>
      <c r="AF421" s="127"/>
      <c r="AG421" s="127">
        <v>0</v>
      </c>
      <c r="AH421" s="127"/>
      <c r="AI421" s="127"/>
      <c r="AJ421" s="127"/>
      <c r="AK421" s="127">
        <v>300</v>
      </c>
      <c r="AL421" s="127"/>
      <c r="AM421" s="127"/>
      <c r="AN421" s="127"/>
      <c r="AO421" s="127"/>
      <c r="AP421" s="127"/>
      <c r="AQ421" s="127"/>
      <c r="AR421" s="127">
        <v>300</v>
      </c>
      <c r="AS421" s="127"/>
      <c r="AT421" s="127">
        <v>0</v>
      </c>
      <c r="AU421" s="127"/>
      <c r="AV421" s="127"/>
      <c r="AW421" s="127"/>
      <c r="AX421" s="127">
        <v>0</v>
      </c>
      <c r="AY421" s="127"/>
      <c r="AZ421" s="127"/>
      <c r="BA421" s="127"/>
      <c r="BB421" s="127">
        <v>0</v>
      </c>
      <c r="BC421" s="127"/>
      <c r="BD421" s="127"/>
      <c r="BE421" s="127"/>
      <c r="BF421" s="127"/>
      <c r="BG421" s="127">
        <v>0</v>
      </c>
      <c r="BH421" s="127"/>
      <c r="BI421" s="127"/>
      <c r="BJ421" s="127"/>
      <c r="BK421" s="127">
        <v>0</v>
      </c>
      <c r="BL421" s="127"/>
      <c r="BM421" s="127"/>
      <c r="BN421" s="127"/>
      <c r="BO421" s="127"/>
      <c r="BP421" s="127" t="s">
        <v>1711</v>
      </c>
      <c r="BQ421" s="127" t="s">
        <v>189</v>
      </c>
      <c r="BR421" s="127" t="s">
        <v>189</v>
      </c>
      <c r="BS421" s="127" t="s">
        <v>189</v>
      </c>
      <c r="BT421" s="127" t="s">
        <v>188</v>
      </c>
      <c r="BU421" s="127" t="s">
        <v>189</v>
      </c>
      <c r="BV421" s="127" t="s">
        <v>188</v>
      </c>
      <c r="BW421" s="127" t="s">
        <v>733</v>
      </c>
      <c r="BX421" s="127" t="s">
        <v>189</v>
      </c>
      <c r="BY421" s="127" t="s">
        <v>189</v>
      </c>
      <c r="BZ421" s="155" t="s">
        <v>1712</v>
      </c>
    </row>
    <row r="422" spans="2:78" s="121" customFormat="1" outlineLevel="2">
      <c r="B422" s="121" t="s">
        <v>1426</v>
      </c>
      <c r="C422" s="129" t="s">
        <v>1700</v>
      </c>
      <c r="D422" s="145" t="s">
        <v>198</v>
      </c>
      <c r="E422" s="171" t="s">
        <v>1613</v>
      </c>
      <c r="F422" s="149" t="s">
        <v>178</v>
      </c>
      <c r="G422" s="107" t="s">
        <v>199</v>
      </c>
      <c r="H422" s="122" t="s">
        <v>1713</v>
      </c>
      <c r="I422" s="124"/>
      <c r="J422" s="124"/>
      <c r="K422" s="124" t="s">
        <v>1714</v>
      </c>
      <c r="L422" s="124" t="s">
        <v>273</v>
      </c>
      <c r="M422" s="125" t="s">
        <v>183</v>
      </c>
      <c r="N422" s="126">
        <f t="shared" si="58"/>
        <v>1200</v>
      </c>
      <c r="O422" s="127"/>
      <c r="P422" s="127"/>
      <c r="Q422" s="127"/>
      <c r="R422" s="127"/>
      <c r="S422" s="127"/>
      <c r="T422" s="127"/>
      <c r="U422" s="127"/>
      <c r="V422" s="127"/>
      <c r="W422" s="127"/>
      <c r="X422" s="130">
        <v>600</v>
      </c>
      <c r="Y422" s="127"/>
      <c r="Z422" s="130">
        <v>600</v>
      </c>
      <c r="AA422" s="127"/>
      <c r="AB422" s="127"/>
      <c r="AC422" s="127"/>
      <c r="AD422" s="127"/>
      <c r="AE422" s="127"/>
      <c r="AF422" s="127"/>
      <c r="AG422" s="127"/>
      <c r="AH422" s="127"/>
      <c r="AI422" s="127"/>
      <c r="AJ422" s="127"/>
      <c r="AK422" s="127"/>
      <c r="AL422" s="127"/>
      <c r="AM422" s="127"/>
      <c r="AN422" s="127"/>
      <c r="AO422" s="127"/>
      <c r="AP422" s="127"/>
      <c r="AQ422" s="127"/>
      <c r="AR422" s="127"/>
      <c r="AS422" s="127"/>
      <c r="AT422" s="127"/>
      <c r="AU422" s="127"/>
      <c r="AV422" s="127"/>
      <c r="AW422" s="127"/>
      <c r="AX422" s="127"/>
      <c r="AY422" s="127"/>
      <c r="AZ422" s="127"/>
      <c r="BA422" s="127"/>
      <c r="BB422" s="127"/>
      <c r="BC422" s="127"/>
      <c r="BD422" s="127"/>
      <c r="BE422" s="127"/>
      <c r="BF422" s="127"/>
      <c r="BG422" s="127"/>
      <c r="BH422" s="127"/>
      <c r="BI422" s="127"/>
      <c r="BJ422" s="127"/>
      <c r="BK422" s="127"/>
      <c r="BL422" s="127"/>
      <c r="BM422" s="127"/>
      <c r="BN422" s="127"/>
      <c r="BO422" s="127"/>
      <c r="BP422" s="127"/>
      <c r="BQ422" s="127"/>
      <c r="BR422" s="127"/>
      <c r="BS422" s="127"/>
      <c r="BT422" s="127"/>
      <c r="BU422" s="127"/>
      <c r="BV422" s="127"/>
      <c r="BW422" s="127"/>
      <c r="BX422" s="127"/>
      <c r="BY422" s="127"/>
      <c r="BZ422" s="155"/>
    </row>
    <row r="423" spans="2:78" s="121" customFormat="1" outlineLevel="2">
      <c r="B423" s="121" t="s">
        <v>1426</v>
      </c>
      <c r="C423" s="129" t="s">
        <v>1700</v>
      </c>
      <c r="D423" s="145" t="s">
        <v>198</v>
      </c>
      <c r="E423" s="145"/>
      <c r="F423" s="145" t="s">
        <v>178</v>
      </c>
      <c r="G423" s="145" t="s">
        <v>199</v>
      </c>
      <c r="H423" s="122" t="s">
        <v>1715</v>
      </c>
      <c r="I423" s="124"/>
      <c r="J423" s="124"/>
      <c r="K423" s="124" t="s">
        <v>1716</v>
      </c>
      <c r="L423" s="124" t="s">
        <v>273</v>
      </c>
      <c r="M423" s="125" t="s">
        <v>183</v>
      </c>
      <c r="N423" s="124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30">
        <v>190</v>
      </c>
      <c r="AA423" s="127"/>
      <c r="AB423" s="127"/>
      <c r="AC423" s="127"/>
      <c r="AD423" s="127"/>
      <c r="AE423" s="127"/>
      <c r="AF423" s="127"/>
      <c r="AG423" s="127"/>
      <c r="AH423" s="127"/>
      <c r="AI423" s="127"/>
      <c r="AJ423" s="127"/>
      <c r="AK423" s="127"/>
      <c r="AL423" s="127"/>
      <c r="AM423" s="127"/>
      <c r="AN423" s="127"/>
      <c r="AO423" s="127"/>
      <c r="AP423" s="127"/>
      <c r="AQ423" s="127"/>
      <c r="AR423" s="127"/>
      <c r="AS423" s="127"/>
      <c r="AT423" s="127"/>
      <c r="AU423" s="127"/>
      <c r="AV423" s="127"/>
      <c r="AW423" s="127"/>
      <c r="AX423" s="127"/>
      <c r="AY423" s="127"/>
      <c r="AZ423" s="127"/>
      <c r="BA423" s="127"/>
      <c r="BB423" s="127"/>
      <c r="BC423" s="127"/>
      <c r="BD423" s="127"/>
      <c r="BE423" s="127"/>
      <c r="BF423" s="127"/>
      <c r="BG423" s="127"/>
      <c r="BH423" s="127"/>
      <c r="BI423" s="127"/>
      <c r="BJ423" s="127"/>
      <c r="BK423" s="127"/>
      <c r="BL423" s="127"/>
      <c r="BM423" s="127"/>
      <c r="BN423" s="127"/>
      <c r="BO423" s="127"/>
      <c r="BP423" s="127"/>
      <c r="BQ423" s="127"/>
      <c r="BR423" s="127"/>
      <c r="BS423" s="127"/>
      <c r="BT423" s="127"/>
      <c r="BU423" s="127"/>
      <c r="BV423" s="127"/>
      <c r="BW423" s="127"/>
      <c r="BX423" s="127"/>
      <c r="BY423" s="127"/>
      <c r="BZ423" s="155"/>
    </row>
    <row r="424" spans="2:78" ht="12" customHeight="1" outlineLevel="2">
      <c r="B424" s="102" t="s">
        <v>1426</v>
      </c>
      <c r="C424" s="129" t="s">
        <v>1700</v>
      </c>
      <c r="D424" s="129" t="s">
        <v>198</v>
      </c>
      <c r="E424" s="163"/>
      <c r="F424" s="149" t="s">
        <v>178</v>
      </c>
      <c r="G424" s="129"/>
      <c r="H424" s="166" t="s">
        <v>1717</v>
      </c>
      <c r="I424" s="147"/>
      <c r="J424" s="147"/>
      <c r="K424" s="147"/>
      <c r="L424" s="147" t="s">
        <v>273</v>
      </c>
      <c r="M424" s="125" t="s">
        <v>183</v>
      </c>
      <c r="N424" s="124">
        <f t="shared" si="58"/>
        <v>5000</v>
      </c>
      <c r="O424" s="127">
        <v>700</v>
      </c>
      <c r="P424" s="127"/>
      <c r="Q424" s="127"/>
      <c r="R424" s="127"/>
      <c r="S424" s="127"/>
      <c r="T424" s="127">
        <v>700</v>
      </c>
      <c r="U424" s="127"/>
      <c r="V424" s="127"/>
      <c r="W424" s="127"/>
      <c r="X424" s="127">
        <v>700</v>
      </c>
      <c r="Y424" s="127"/>
      <c r="Z424" s="127"/>
      <c r="AA424" s="127"/>
      <c r="AB424" s="127">
        <v>700</v>
      </c>
      <c r="AC424" s="127"/>
      <c r="AD424" s="127"/>
      <c r="AE424" s="127"/>
      <c r="AF424" s="127"/>
      <c r="AG424" s="127">
        <v>700</v>
      </c>
      <c r="AH424" s="127"/>
      <c r="AI424" s="127"/>
      <c r="AJ424" s="127"/>
      <c r="AK424" s="127"/>
      <c r="AL424" s="127"/>
      <c r="AM424" s="127"/>
      <c r="AN424" s="127"/>
      <c r="AO424" s="127"/>
      <c r="AP424" s="127"/>
      <c r="AQ424" s="127"/>
      <c r="AR424" s="127"/>
      <c r="AS424" s="127"/>
      <c r="AT424" s="127"/>
      <c r="AU424" s="127"/>
      <c r="AV424" s="127"/>
      <c r="AW424" s="127"/>
      <c r="AX424" s="127">
        <v>500</v>
      </c>
      <c r="AY424" s="127"/>
      <c r="AZ424" s="127"/>
      <c r="BA424" s="127"/>
      <c r="BB424" s="127">
        <v>500</v>
      </c>
      <c r="BC424" s="127"/>
      <c r="BD424" s="127"/>
      <c r="BE424" s="127"/>
      <c r="BF424" s="127"/>
      <c r="BG424" s="127">
        <v>500</v>
      </c>
      <c r="BH424" s="127"/>
      <c r="BI424" s="127"/>
      <c r="BJ424" s="127"/>
      <c r="BK424" s="127"/>
      <c r="BL424" s="127"/>
      <c r="BM424" s="127"/>
      <c r="BN424" s="127"/>
      <c r="BO424" s="127"/>
      <c r="BP424" s="127" t="s">
        <v>1465</v>
      </c>
      <c r="BQ424" s="165"/>
      <c r="BR424" s="165"/>
      <c r="BS424" s="165"/>
      <c r="BT424" s="165"/>
      <c r="BU424" s="165"/>
      <c r="BV424" s="165"/>
      <c r="BW424" s="165"/>
      <c r="BX424" s="165"/>
      <c r="BY424" s="165"/>
      <c r="BZ424" s="165"/>
    </row>
    <row r="425" spans="2:78" s="139" customFormat="1" outlineLevel="1">
      <c r="C425" s="140" t="s">
        <v>1718</v>
      </c>
      <c r="H425" s="141"/>
      <c r="I425" s="141"/>
      <c r="J425" s="141"/>
      <c r="K425" s="141"/>
      <c r="L425" s="141"/>
      <c r="M425" s="142"/>
      <c r="N425" s="143">
        <f t="shared" ref="N425:BO425" si="59">SUBTOTAL(9,N418:N424)</f>
        <v>10350</v>
      </c>
      <c r="O425" s="144">
        <f t="shared" si="59"/>
        <v>700</v>
      </c>
      <c r="P425" s="144">
        <f t="shared" si="59"/>
        <v>600</v>
      </c>
      <c r="Q425" s="144">
        <f t="shared" si="59"/>
        <v>0</v>
      </c>
      <c r="R425" s="144">
        <f t="shared" si="59"/>
        <v>0</v>
      </c>
      <c r="S425" s="144">
        <f t="shared" si="59"/>
        <v>0</v>
      </c>
      <c r="T425" s="144">
        <f t="shared" si="59"/>
        <v>700</v>
      </c>
      <c r="U425" s="144">
        <f t="shared" si="59"/>
        <v>0</v>
      </c>
      <c r="V425" s="144">
        <f t="shared" si="59"/>
        <v>0</v>
      </c>
      <c r="W425" s="144">
        <f t="shared" si="59"/>
        <v>0</v>
      </c>
      <c r="X425" s="144">
        <f t="shared" si="59"/>
        <v>1300</v>
      </c>
      <c r="Y425" s="144">
        <f t="shared" si="59"/>
        <v>0</v>
      </c>
      <c r="Z425" s="144">
        <f t="shared" si="59"/>
        <v>790</v>
      </c>
      <c r="AA425" s="144">
        <f t="shared" si="59"/>
        <v>0</v>
      </c>
      <c r="AB425" s="144">
        <f t="shared" si="59"/>
        <v>700</v>
      </c>
      <c r="AC425" s="144">
        <f t="shared" si="59"/>
        <v>0</v>
      </c>
      <c r="AD425" s="144">
        <f t="shared" si="59"/>
        <v>0</v>
      </c>
      <c r="AE425" s="144">
        <f t="shared" si="59"/>
        <v>0</v>
      </c>
      <c r="AF425" s="144">
        <f t="shared" si="59"/>
        <v>0</v>
      </c>
      <c r="AG425" s="144">
        <f t="shared" si="59"/>
        <v>700</v>
      </c>
      <c r="AH425" s="144">
        <f t="shared" si="59"/>
        <v>0</v>
      </c>
      <c r="AI425" s="144">
        <f t="shared" si="59"/>
        <v>0</v>
      </c>
      <c r="AJ425" s="144">
        <f t="shared" si="59"/>
        <v>0</v>
      </c>
      <c r="AK425" s="144">
        <f t="shared" si="59"/>
        <v>650</v>
      </c>
      <c r="AL425" s="144">
        <f t="shared" si="59"/>
        <v>0</v>
      </c>
      <c r="AM425" s="144">
        <f t="shared" si="59"/>
        <v>0</v>
      </c>
      <c r="AN425" s="144">
        <f t="shared" si="59"/>
        <v>0</v>
      </c>
      <c r="AO425" s="144">
        <f t="shared" si="59"/>
        <v>0</v>
      </c>
      <c r="AP425" s="144">
        <f t="shared" si="59"/>
        <v>0</v>
      </c>
      <c r="AQ425" s="144">
        <f t="shared" si="59"/>
        <v>0</v>
      </c>
      <c r="AR425" s="144">
        <f t="shared" si="59"/>
        <v>300</v>
      </c>
      <c r="AS425" s="144">
        <f t="shared" si="59"/>
        <v>0</v>
      </c>
      <c r="AT425" s="144">
        <f t="shared" si="59"/>
        <v>0</v>
      </c>
      <c r="AU425" s="144">
        <f t="shared" si="59"/>
        <v>0</v>
      </c>
      <c r="AV425" s="144">
        <f t="shared" si="59"/>
        <v>0</v>
      </c>
      <c r="AW425" s="144">
        <f t="shared" si="59"/>
        <v>0</v>
      </c>
      <c r="AX425" s="144">
        <f t="shared" si="59"/>
        <v>500</v>
      </c>
      <c r="AY425" s="144">
        <f t="shared" si="59"/>
        <v>600</v>
      </c>
      <c r="AZ425" s="144">
        <f t="shared" si="59"/>
        <v>0</v>
      </c>
      <c r="BA425" s="144">
        <f t="shared" si="59"/>
        <v>0</v>
      </c>
      <c r="BB425" s="144">
        <f t="shared" si="59"/>
        <v>500</v>
      </c>
      <c r="BC425" s="144">
        <f t="shared" si="59"/>
        <v>2000</v>
      </c>
      <c r="BD425" s="144">
        <f t="shared" si="59"/>
        <v>0</v>
      </c>
      <c r="BE425" s="144">
        <f t="shared" si="59"/>
        <v>0</v>
      </c>
      <c r="BF425" s="144">
        <f t="shared" si="59"/>
        <v>0</v>
      </c>
      <c r="BG425" s="144">
        <f t="shared" si="59"/>
        <v>500</v>
      </c>
      <c r="BH425" s="144">
        <f t="shared" si="59"/>
        <v>0</v>
      </c>
      <c r="BI425" s="144">
        <f t="shared" si="59"/>
        <v>0</v>
      </c>
      <c r="BJ425" s="144">
        <f t="shared" si="59"/>
        <v>0</v>
      </c>
      <c r="BK425" s="144">
        <f t="shared" si="59"/>
        <v>0</v>
      </c>
      <c r="BL425" s="144">
        <f t="shared" si="59"/>
        <v>0</v>
      </c>
      <c r="BM425" s="144">
        <f t="shared" si="59"/>
        <v>0</v>
      </c>
      <c r="BN425" s="144">
        <f t="shared" si="59"/>
        <v>0</v>
      </c>
      <c r="BO425" s="144">
        <f t="shared" si="59"/>
        <v>0</v>
      </c>
      <c r="BP425" s="144"/>
      <c r="BQ425" s="144"/>
      <c r="BR425" s="144"/>
      <c r="BS425" s="144"/>
      <c r="BT425" s="144"/>
      <c r="BU425" s="144"/>
      <c r="BV425" s="144"/>
      <c r="BW425" s="144"/>
      <c r="BX425" s="144"/>
      <c r="BY425" s="144"/>
      <c r="BZ425" s="144">
        <f>SUBTOTAL(9,BZ418:BZ418)</f>
        <v>0</v>
      </c>
    </row>
    <row r="426" spans="2:78" ht="12.75" customHeight="1" outlineLevel="2">
      <c r="B426" s="102" t="s">
        <v>1426</v>
      </c>
      <c r="C426" s="145" t="s">
        <v>1719</v>
      </c>
      <c r="D426" s="129" t="s">
        <v>198</v>
      </c>
      <c r="E426" s="163"/>
      <c r="F426" s="149" t="s">
        <v>178</v>
      </c>
      <c r="G426" s="129"/>
      <c r="H426" s="166" t="s">
        <v>1720</v>
      </c>
      <c r="I426" s="163"/>
      <c r="J426" s="172"/>
      <c r="K426" s="172"/>
      <c r="L426" s="147" t="s">
        <v>315</v>
      </c>
      <c r="M426" s="125" t="s">
        <v>183</v>
      </c>
      <c r="N426" s="124">
        <f>SUM(O426:BO426)</f>
        <v>4950</v>
      </c>
      <c r="O426" s="127">
        <v>500</v>
      </c>
      <c r="P426" s="127"/>
      <c r="Q426" s="127"/>
      <c r="R426" s="127"/>
      <c r="S426" s="127"/>
      <c r="T426" s="127">
        <v>1200</v>
      </c>
      <c r="U426" s="127"/>
      <c r="V426" s="127"/>
      <c r="W426" s="127"/>
      <c r="X426" s="127">
        <v>350</v>
      </c>
      <c r="Y426" s="127"/>
      <c r="Z426" s="127"/>
      <c r="AA426" s="127"/>
      <c r="AB426" s="127">
        <v>700</v>
      </c>
      <c r="AC426" s="127"/>
      <c r="AD426" s="127"/>
      <c r="AE426" s="127"/>
      <c r="AF426" s="127"/>
      <c r="AG426" s="127">
        <v>700</v>
      </c>
      <c r="AH426" s="127"/>
      <c r="AI426" s="127"/>
      <c r="AJ426" s="127"/>
      <c r="AK426" s="127"/>
      <c r="AL426" s="127"/>
      <c r="AM426" s="127"/>
      <c r="AN426" s="127"/>
      <c r="AO426" s="127"/>
      <c r="AP426" s="127"/>
      <c r="AQ426" s="127"/>
      <c r="AR426" s="127"/>
      <c r="AS426" s="127"/>
      <c r="AT426" s="127"/>
      <c r="AU426" s="127"/>
      <c r="AV426" s="127"/>
      <c r="AW426" s="127"/>
      <c r="AX426" s="127">
        <v>500</v>
      </c>
      <c r="AY426" s="127"/>
      <c r="AZ426" s="127"/>
      <c r="BA426" s="127"/>
      <c r="BB426" s="127">
        <v>500</v>
      </c>
      <c r="BC426" s="127"/>
      <c r="BD426" s="127"/>
      <c r="BE426" s="127"/>
      <c r="BF426" s="127"/>
      <c r="BG426" s="127">
        <v>500</v>
      </c>
      <c r="BH426" s="127"/>
      <c r="BI426" s="127"/>
      <c r="BJ426" s="127"/>
      <c r="BK426" s="165"/>
      <c r="BL426" s="165"/>
      <c r="BM426" s="165"/>
      <c r="BN426" s="165"/>
      <c r="BO426" s="165"/>
      <c r="BP426" s="127" t="s">
        <v>1465</v>
      </c>
      <c r="BQ426" s="165"/>
      <c r="BR426" s="165"/>
      <c r="BS426" s="165"/>
      <c r="BT426" s="165"/>
      <c r="BU426" s="165"/>
      <c r="BV426" s="165"/>
      <c r="BW426" s="165"/>
      <c r="BX426" s="165"/>
      <c r="BY426" s="165"/>
      <c r="BZ426" s="165"/>
    </row>
    <row r="427" spans="2:78" s="139" customFormat="1" outlineLevel="1">
      <c r="C427" s="140" t="s">
        <v>1721</v>
      </c>
      <c r="H427" s="141"/>
      <c r="I427" s="141"/>
      <c r="J427" s="141"/>
      <c r="K427" s="141"/>
      <c r="L427" s="141"/>
      <c r="M427" s="142"/>
      <c r="N427" s="143">
        <f>SUBTOTAL(9,N426)</f>
        <v>4950</v>
      </c>
      <c r="O427" s="144">
        <f>SUBTOTAL(9,O426)</f>
        <v>500</v>
      </c>
      <c r="P427" s="144">
        <f t="shared" ref="P427:BO427" si="60">SUBTOTAL(9,P426)</f>
        <v>0</v>
      </c>
      <c r="Q427" s="144">
        <f t="shared" si="60"/>
        <v>0</v>
      </c>
      <c r="R427" s="144">
        <f t="shared" si="60"/>
        <v>0</v>
      </c>
      <c r="S427" s="144">
        <f t="shared" si="60"/>
        <v>0</v>
      </c>
      <c r="T427" s="144">
        <f t="shared" si="60"/>
        <v>1200</v>
      </c>
      <c r="U427" s="144">
        <f t="shared" si="60"/>
        <v>0</v>
      </c>
      <c r="V427" s="144">
        <f t="shared" si="60"/>
        <v>0</v>
      </c>
      <c r="W427" s="144">
        <f t="shared" si="60"/>
        <v>0</v>
      </c>
      <c r="X427" s="144">
        <f t="shared" si="60"/>
        <v>350</v>
      </c>
      <c r="Y427" s="144">
        <f t="shared" si="60"/>
        <v>0</v>
      </c>
      <c r="Z427" s="144">
        <f t="shared" si="60"/>
        <v>0</v>
      </c>
      <c r="AA427" s="144">
        <f t="shared" si="60"/>
        <v>0</v>
      </c>
      <c r="AB427" s="144">
        <f t="shared" si="60"/>
        <v>700</v>
      </c>
      <c r="AC427" s="144">
        <f t="shared" si="60"/>
        <v>0</v>
      </c>
      <c r="AD427" s="144">
        <f t="shared" si="60"/>
        <v>0</v>
      </c>
      <c r="AE427" s="144">
        <f t="shared" si="60"/>
        <v>0</v>
      </c>
      <c r="AF427" s="144">
        <f t="shared" si="60"/>
        <v>0</v>
      </c>
      <c r="AG427" s="144">
        <f t="shared" si="60"/>
        <v>700</v>
      </c>
      <c r="AH427" s="144">
        <f t="shared" si="60"/>
        <v>0</v>
      </c>
      <c r="AI427" s="144">
        <f t="shared" si="60"/>
        <v>0</v>
      </c>
      <c r="AJ427" s="144">
        <f t="shared" si="60"/>
        <v>0</v>
      </c>
      <c r="AK427" s="144">
        <f t="shared" si="60"/>
        <v>0</v>
      </c>
      <c r="AL427" s="144">
        <f t="shared" si="60"/>
        <v>0</v>
      </c>
      <c r="AM427" s="144">
        <f t="shared" si="60"/>
        <v>0</v>
      </c>
      <c r="AN427" s="144">
        <f t="shared" si="60"/>
        <v>0</v>
      </c>
      <c r="AO427" s="144">
        <f t="shared" si="60"/>
        <v>0</v>
      </c>
      <c r="AP427" s="144">
        <f t="shared" si="60"/>
        <v>0</v>
      </c>
      <c r="AQ427" s="144">
        <f t="shared" si="60"/>
        <v>0</v>
      </c>
      <c r="AR427" s="144">
        <f t="shared" si="60"/>
        <v>0</v>
      </c>
      <c r="AS427" s="144">
        <f t="shared" si="60"/>
        <v>0</v>
      </c>
      <c r="AT427" s="144">
        <f t="shared" si="60"/>
        <v>0</v>
      </c>
      <c r="AU427" s="144">
        <f t="shared" si="60"/>
        <v>0</v>
      </c>
      <c r="AV427" s="144">
        <f t="shared" si="60"/>
        <v>0</v>
      </c>
      <c r="AW427" s="144">
        <f t="shared" si="60"/>
        <v>0</v>
      </c>
      <c r="AX427" s="144">
        <f t="shared" si="60"/>
        <v>500</v>
      </c>
      <c r="AY427" s="144">
        <f t="shared" si="60"/>
        <v>0</v>
      </c>
      <c r="AZ427" s="144">
        <f t="shared" si="60"/>
        <v>0</v>
      </c>
      <c r="BA427" s="144">
        <f t="shared" si="60"/>
        <v>0</v>
      </c>
      <c r="BB427" s="144">
        <f t="shared" si="60"/>
        <v>500</v>
      </c>
      <c r="BC427" s="144">
        <f t="shared" si="60"/>
        <v>0</v>
      </c>
      <c r="BD427" s="144">
        <f t="shared" si="60"/>
        <v>0</v>
      </c>
      <c r="BE427" s="144">
        <f t="shared" si="60"/>
        <v>0</v>
      </c>
      <c r="BF427" s="144">
        <f t="shared" si="60"/>
        <v>0</v>
      </c>
      <c r="BG427" s="144">
        <f t="shared" si="60"/>
        <v>500</v>
      </c>
      <c r="BH427" s="144">
        <f t="shared" si="60"/>
        <v>0</v>
      </c>
      <c r="BI427" s="144">
        <f t="shared" si="60"/>
        <v>0</v>
      </c>
      <c r="BJ427" s="144">
        <f t="shared" si="60"/>
        <v>0</v>
      </c>
      <c r="BK427" s="144">
        <f t="shared" si="60"/>
        <v>0</v>
      </c>
      <c r="BL427" s="144">
        <f t="shared" si="60"/>
        <v>0</v>
      </c>
      <c r="BM427" s="144">
        <f t="shared" si="60"/>
        <v>0</v>
      </c>
      <c r="BN427" s="144">
        <f t="shared" si="60"/>
        <v>0</v>
      </c>
      <c r="BO427" s="144">
        <f t="shared" si="60"/>
        <v>0</v>
      </c>
      <c r="BP427" s="144"/>
      <c r="BQ427" s="144"/>
      <c r="BR427" s="144"/>
      <c r="BS427" s="144"/>
      <c r="BT427" s="144"/>
      <c r="BU427" s="144"/>
      <c r="BV427" s="144"/>
      <c r="BW427" s="144"/>
      <c r="BX427" s="144"/>
      <c r="BY427" s="144"/>
      <c r="BZ427" s="144">
        <f>SUBTOTAL(9,BZ419:BZ419)</f>
        <v>0</v>
      </c>
    </row>
    <row r="428" spans="2:78" ht="12.75" customHeight="1" outlineLevel="2">
      <c r="B428" s="102" t="s">
        <v>1426</v>
      </c>
      <c r="C428" s="129" t="s">
        <v>1722</v>
      </c>
      <c r="D428" s="129" t="s">
        <v>198</v>
      </c>
      <c r="E428" s="163"/>
      <c r="F428" s="149" t="s">
        <v>178</v>
      </c>
      <c r="G428" s="124"/>
      <c r="H428" s="166" t="s">
        <v>1723</v>
      </c>
      <c r="I428" s="147"/>
      <c r="J428" s="147"/>
      <c r="K428" s="147"/>
      <c r="L428" s="147" t="s">
        <v>687</v>
      </c>
      <c r="M428" s="125" t="s">
        <v>183</v>
      </c>
      <c r="N428" s="124">
        <f>SUM(O428:BO428)</f>
        <v>5000</v>
      </c>
      <c r="O428" s="127">
        <v>700</v>
      </c>
      <c r="P428" s="127"/>
      <c r="Q428" s="127"/>
      <c r="R428" s="127"/>
      <c r="S428" s="127"/>
      <c r="T428" s="127">
        <v>700</v>
      </c>
      <c r="U428" s="127"/>
      <c r="V428" s="127"/>
      <c r="W428" s="127"/>
      <c r="X428" s="127">
        <v>700</v>
      </c>
      <c r="Y428" s="127"/>
      <c r="Z428" s="127"/>
      <c r="AA428" s="127"/>
      <c r="AB428" s="127">
        <v>700</v>
      </c>
      <c r="AC428" s="127"/>
      <c r="AD428" s="127"/>
      <c r="AE428" s="127"/>
      <c r="AF428" s="127"/>
      <c r="AG428" s="127">
        <v>700</v>
      </c>
      <c r="AH428" s="127"/>
      <c r="AI428" s="127"/>
      <c r="AJ428" s="127"/>
      <c r="AK428" s="127"/>
      <c r="AL428" s="127"/>
      <c r="AM428" s="127"/>
      <c r="AN428" s="127"/>
      <c r="AO428" s="127"/>
      <c r="AP428" s="127"/>
      <c r="AQ428" s="127"/>
      <c r="AR428" s="127"/>
      <c r="AS428" s="127"/>
      <c r="AT428" s="127"/>
      <c r="AU428" s="127"/>
      <c r="AV428" s="127"/>
      <c r="AW428" s="127"/>
      <c r="AX428" s="127">
        <v>500</v>
      </c>
      <c r="AY428" s="127"/>
      <c r="AZ428" s="127"/>
      <c r="BA428" s="127"/>
      <c r="BB428" s="127">
        <v>500</v>
      </c>
      <c r="BC428" s="127"/>
      <c r="BD428" s="127"/>
      <c r="BE428" s="127"/>
      <c r="BF428" s="127"/>
      <c r="BG428" s="127">
        <v>500</v>
      </c>
      <c r="BH428" s="127"/>
      <c r="BI428" s="127"/>
      <c r="BJ428" s="127"/>
      <c r="BK428" s="167"/>
      <c r="BL428" s="167"/>
      <c r="BM428" s="167"/>
      <c r="BN428" s="167"/>
      <c r="BO428" s="167"/>
      <c r="BP428" s="127" t="s">
        <v>1465</v>
      </c>
      <c r="BQ428" s="165"/>
      <c r="BR428" s="165"/>
      <c r="BS428" s="165"/>
      <c r="BT428" s="165"/>
      <c r="BU428" s="165"/>
      <c r="BV428" s="165"/>
      <c r="BW428" s="165"/>
      <c r="BX428" s="165"/>
      <c r="BY428" s="165"/>
      <c r="BZ428" s="165"/>
    </row>
    <row r="429" spans="2:78" s="139" customFormat="1" outlineLevel="1">
      <c r="C429" s="140" t="s">
        <v>1724</v>
      </c>
      <c r="H429" s="141"/>
      <c r="I429" s="141"/>
      <c r="J429" s="141"/>
      <c r="K429" s="141"/>
      <c r="L429" s="141"/>
      <c r="M429" s="142"/>
      <c r="N429" s="143">
        <f>SUBTOTAL(9,N428)</f>
        <v>5000</v>
      </c>
      <c r="O429" s="144">
        <f>SUBTOTAL(9,O428)</f>
        <v>700</v>
      </c>
      <c r="P429" s="144">
        <f t="shared" ref="P429:BO429" si="61">SUBTOTAL(9,P428)</f>
        <v>0</v>
      </c>
      <c r="Q429" s="144">
        <f t="shared" si="61"/>
        <v>0</v>
      </c>
      <c r="R429" s="144">
        <f t="shared" si="61"/>
        <v>0</v>
      </c>
      <c r="S429" s="144">
        <f t="shared" si="61"/>
        <v>0</v>
      </c>
      <c r="T429" s="144">
        <f t="shared" si="61"/>
        <v>700</v>
      </c>
      <c r="U429" s="144">
        <f t="shared" si="61"/>
        <v>0</v>
      </c>
      <c r="V429" s="144">
        <f t="shared" si="61"/>
        <v>0</v>
      </c>
      <c r="W429" s="144">
        <f t="shared" si="61"/>
        <v>0</v>
      </c>
      <c r="X429" s="144">
        <f t="shared" si="61"/>
        <v>700</v>
      </c>
      <c r="Y429" s="144">
        <f t="shared" si="61"/>
        <v>0</v>
      </c>
      <c r="Z429" s="144">
        <f t="shared" si="61"/>
        <v>0</v>
      </c>
      <c r="AA429" s="144">
        <f t="shared" si="61"/>
        <v>0</v>
      </c>
      <c r="AB429" s="144">
        <f t="shared" si="61"/>
        <v>700</v>
      </c>
      <c r="AC429" s="144">
        <f t="shared" si="61"/>
        <v>0</v>
      </c>
      <c r="AD429" s="144">
        <f t="shared" si="61"/>
        <v>0</v>
      </c>
      <c r="AE429" s="144">
        <f t="shared" si="61"/>
        <v>0</v>
      </c>
      <c r="AF429" s="144">
        <f t="shared" si="61"/>
        <v>0</v>
      </c>
      <c r="AG429" s="144">
        <f t="shared" si="61"/>
        <v>700</v>
      </c>
      <c r="AH429" s="144">
        <f t="shared" si="61"/>
        <v>0</v>
      </c>
      <c r="AI429" s="144">
        <f t="shared" si="61"/>
        <v>0</v>
      </c>
      <c r="AJ429" s="144">
        <f t="shared" si="61"/>
        <v>0</v>
      </c>
      <c r="AK429" s="144">
        <f t="shared" si="61"/>
        <v>0</v>
      </c>
      <c r="AL429" s="144">
        <f t="shared" si="61"/>
        <v>0</v>
      </c>
      <c r="AM429" s="144">
        <f t="shared" si="61"/>
        <v>0</v>
      </c>
      <c r="AN429" s="144">
        <f t="shared" si="61"/>
        <v>0</v>
      </c>
      <c r="AO429" s="144">
        <f t="shared" si="61"/>
        <v>0</v>
      </c>
      <c r="AP429" s="144">
        <f t="shared" si="61"/>
        <v>0</v>
      </c>
      <c r="AQ429" s="144">
        <f t="shared" si="61"/>
        <v>0</v>
      </c>
      <c r="AR429" s="144">
        <f t="shared" si="61"/>
        <v>0</v>
      </c>
      <c r="AS429" s="144">
        <f t="shared" si="61"/>
        <v>0</v>
      </c>
      <c r="AT429" s="144">
        <f t="shared" si="61"/>
        <v>0</v>
      </c>
      <c r="AU429" s="144">
        <f t="shared" si="61"/>
        <v>0</v>
      </c>
      <c r="AV429" s="144">
        <f t="shared" si="61"/>
        <v>0</v>
      </c>
      <c r="AW429" s="144">
        <f t="shared" si="61"/>
        <v>0</v>
      </c>
      <c r="AX429" s="144">
        <f t="shared" si="61"/>
        <v>500</v>
      </c>
      <c r="AY429" s="144">
        <f t="shared" si="61"/>
        <v>0</v>
      </c>
      <c r="AZ429" s="144">
        <f t="shared" si="61"/>
        <v>0</v>
      </c>
      <c r="BA429" s="144">
        <f t="shared" si="61"/>
        <v>0</v>
      </c>
      <c r="BB429" s="144">
        <f t="shared" si="61"/>
        <v>500</v>
      </c>
      <c r="BC429" s="144">
        <f t="shared" si="61"/>
        <v>0</v>
      </c>
      <c r="BD429" s="144">
        <f t="shared" si="61"/>
        <v>0</v>
      </c>
      <c r="BE429" s="144">
        <f t="shared" si="61"/>
        <v>0</v>
      </c>
      <c r="BF429" s="144">
        <f t="shared" si="61"/>
        <v>0</v>
      </c>
      <c r="BG429" s="144">
        <f t="shared" si="61"/>
        <v>500</v>
      </c>
      <c r="BH429" s="144">
        <f t="shared" si="61"/>
        <v>0</v>
      </c>
      <c r="BI429" s="144">
        <f t="shared" si="61"/>
        <v>0</v>
      </c>
      <c r="BJ429" s="144">
        <f t="shared" si="61"/>
        <v>0</v>
      </c>
      <c r="BK429" s="144">
        <f t="shared" si="61"/>
        <v>0</v>
      </c>
      <c r="BL429" s="144">
        <f t="shared" si="61"/>
        <v>0</v>
      </c>
      <c r="BM429" s="144">
        <f t="shared" si="61"/>
        <v>0</v>
      </c>
      <c r="BN429" s="144">
        <f t="shared" si="61"/>
        <v>0</v>
      </c>
      <c r="BO429" s="144">
        <f t="shared" si="61"/>
        <v>0</v>
      </c>
      <c r="BP429" s="144"/>
      <c r="BQ429" s="144"/>
      <c r="BR429" s="144"/>
      <c r="BS429" s="144"/>
      <c r="BT429" s="144"/>
      <c r="BU429" s="144"/>
      <c r="BV429" s="144"/>
      <c r="BW429" s="144"/>
      <c r="BX429" s="144"/>
      <c r="BY429" s="144"/>
      <c r="BZ429" s="144">
        <f>SUBTOTAL(9,BZ420:BZ420)</f>
        <v>0</v>
      </c>
    </row>
    <row r="430" spans="2:78" s="121" customFormat="1" outlineLevel="2">
      <c r="B430" s="121" t="s">
        <v>1426</v>
      </c>
      <c r="C430" s="121" t="s">
        <v>1725</v>
      </c>
      <c r="D430" s="145" t="s">
        <v>198</v>
      </c>
      <c r="F430" s="149" t="s">
        <v>178</v>
      </c>
      <c r="H430" s="124" t="s">
        <v>1726</v>
      </c>
      <c r="I430" s="124"/>
      <c r="J430" s="124"/>
      <c r="K430" s="124" t="s">
        <v>674</v>
      </c>
      <c r="L430" s="124" t="s">
        <v>586</v>
      </c>
      <c r="M430" s="125" t="s">
        <v>183</v>
      </c>
      <c r="N430" s="126">
        <f>SUM(O430:BO430)</f>
        <v>200</v>
      </c>
      <c r="O430" s="127">
        <v>200</v>
      </c>
      <c r="P430" s="127"/>
      <c r="Q430" s="127"/>
      <c r="R430" s="127"/>
      <c r="S430" s="127"/>
      <c r="T430" s="127">
        <v>0</v>
      </c>
      <c r="U430" s="127"/>
      <c r="V430" s="127"/>
      <c r="W430" s="127"/>
      <c r="X430" s="127">
        <v>0</v>
      </c>
      <c r="Y430" s="127"/>
      <c r="Z430" s="127"/>
      <c r="AA430" s="127"/>
      <c r="AB430" s="127">
        <v>0</v>
      </c>
      <c r="AC430" s="127"/>
      <c r="AD430" s="127"/>
      <c r="AE430" s="127"/>
      <c r="AF430" s="127"/>
      <c r="AG430" s="127">
        <v>0</v>
      </c>
      <c r="AH430" s="127"/>
      <c r="AI430" s="127"/>
      <c r="AJ430" s="127"/>
      <c r="AK430" s="127">
        <v>0</v>
      </c>
      <c r="AL430" s="127"/>
      <c r="AM430" s="127"/>
      <c r="AN430" s="127"/>
      <c r="AO430" s="127">
        <v>0</v>
      </c>
      <c r="AP430" s="127"/>
      <c r="AQ430" s="127"/>
      <c r="AR430" s="127"/>
      <c r="AS430" s="127"/>
      <c r="AT430" s="127">
        <v>0</v>
      </c>
      <c r="AU430" s="127"/>
      <c r="AV430" s="127"/>
      <c r="AW430" s="127"/>
      <c r="AX430" s="127">
        <v>0</v>
      </c>
      <c r="AY430" s="127"/>
      <c r="AZ430" s="127"/>
      <c r="BA430" s="127"/>
      <c r="BB430" s="127">
        <v>0</v>
      </c>
      <c r="BC430" s="127"/>
      <c r="BD430" s="127"/>
      <c r="BE430" s="127"/>
      <c r="BF430" s="127"/>
      <c r="BG430" s="127">
        <v>0</v>
      </c>
      <c r="BH430" s="127"/>
      <c r="BI430" s="127"/>
      <c r="BJ430" s="127"/>
      <c r="BK430" s="127">
        <v>0</v>
      </c>
      <c r="BL430" s="127"/>
      <c r="BM430" s="127"/>
      <c r="BN430" s="127"/>
      <c r="BO430" s="127"/>
      <c r="BP430" s="127" t="s">
        <v>1727</v>
      </c>
      <c r="BQ430" s="127" t="s">
        <v>1728</v>
      </c>
      <c r="BR430" s="127" t="s">
        <v>1729</v>
      </c>
      <c r="BS430" s="127" t="s">
        <v>1730</v>
      </c>
      <c r="BT430" s="127" t="s">
        <v>188</v>
      </c>
      <c r="BU430" s="127" t="s">
        <v>189</v>
      </c>
      <c r="BV430" s="127" t="s">
        <v>229</v>
      </c>
      <c r="BW430" s="127" t="s">
        <v>343</v>
      </c>
      <c r="BX430" s="127" t="s">
        <v>1731</v>
      </c>
      <c r="BY430" s="127" t="s">
        <v>189</v>
      </c>
      <c r="BZ430" s="128" t="s">
        <v>1732</v>
      </c>
    </row>
    <row r="431" spans="2:78" s="121" customFormat="1" outlineLevel="2">
      <c r="B431" s="121" t="s">
        <v>1426</v>
      </c>
      <c r="C431" s="121" t="s">
        <v>1725</v>
      </c>
      <c r="D431" s="145" t="s">
        <v>198</v>
      </c>
      <c r="F431" s="149" t="s">
        <v>178</v>
      </c>
      <c r="H431" s="124" t="s">
        <v>1733</v>
      </c>
      <c r="I431" s="124"/>
      <c r="J431" s="124"/>
      <c r="K431" s="124" t="s">
        <v>189</v>
      </c>
      <c r="L431" s="124" t="s">
        <v>586</v>
      </c>
      <c r="M431" s="125" t="s">
        <v>183</v>
      </c>
      <c r="N431" s="126">
        <f>SUM(O431:BO431)</f>
        <v>700</v>
      </c>
      <c r="O431" s="127">
        <v>0</v>
      </c>
      <c r="P431" s="127"/>
      <c r="Q431" s="127"/>
      <c r="R431" s="127"/>
      <c r="S431" s="127"/>
      <c r="T431" s="127">
        <v>0</v>
      </c>
      <c r="U431" s="127"/>
      <c r="V431" s="127"/>
      <c r="W431" s="127"/>
      <c r="X431" s="127">
        <v>0</v>
      </c>
      <c r="Y431" s="127"/>
      <c r="Z431" s="127"/>
      <c r="AA431" s="127"/>
      <c r="AB431" s="127">
        <v>0</v>
      </c>
      <c r="AC431" s="127"/>
      <c r="AD431" s="127"/>
      <c r="AE431" s="127"/>
      <c r="AF431" s="127"/>
      <c r="AG431" s="127">
        <v>0</v>
      </c>
      <c r="AH431" s="127"/>
      <c r="AI431" s="127"/>
      <c r="AJ431" s="127"/>
      <c r="AK431" s="127">
        <v>700</v>
      </c>
      <c r="AL431" s="127"/>
      <c r="AM431" s="127"/>
      <c r="AN431" s="127"/>
      <c r="AO431" s="127">
        <v>0</v>
      </c>
      <c r="AP431" s="127"/>
      <c r="AQ431" s="127"/>
      <c r="AR431" s="127"/>
      <c r="AS431" s="127"/>
      <c r="AT431" s="127">
        <v>0</v>
      </c>
      <c r="AU431" s="127"/>
      <c r="AV431" s="127"/>
      <c r="AW431" s="127"/>
      <c r="AX431" s="127">
        <v>0</v>
      </c>
      <c r="AY431" s="127"/>
      <c r="AZ431" s="127"/>
      <c r="BA431" s="127"/>
      <c r="BB431" s="127">
        <v>0</v>
      </c>
      <c r="BC431" s="127"/>
      <c r="BD431" s="127"/>
      <c r="BE431" s="127"/>
      <c r="BF431" s="127"/>
      <c r="BG431" s="127">
        <v>0</v>
      </c>
      <c r="BH431" s="127"/>
      <c r="BI431" s="127"/>
      <c r="BJ431" s="127"/>
      <c r="BK431" s="127">
        <v>0</v>
      </c>
      <c r="BL431" s="127"/>
      <c r="BM431" s="127"/>
      <c r="BN431" s="127"/>
      <c r="BO431" s="127"/>
      <c r="BP431" s="127" t="s">
        <v>1734</v>
      </c>
      <c r="BQ431" s="127" t="s">
        <v>1735</v>
      </c>
      <c r="BR431" s="127" t="s">
        <v>1736</v>
      </c>
      <c r="BS431" s="127" t="s">
        <v>1737</v>
      </c>
      <c r="BT431" s="127" t="s">
        <v>303</v>
      </c>
      <c r="BU431" s="127" t="s">
        <v>189</v>
      </c>
      <c r="BV431" s="127" t="s">
        <v>188</v>
      </c>
      <c r="BW431" s="127" t="s">
        <v>191</v>
      </c>
      <c r="BX431" s="127" t="s">
        <v>305</v>
      </c>
      <c r="BY431" s="127" t="s">
        <v>378</v>
      </c>
      <c r="BZ431" s="128" t="s">
        <v>1738</v>
      </c>
    </row>
    <row r="432" spans="2:78" ht="12.75" customHeight="1" outlineLevel="2">
      <c r="B432" s="102" t="s">
        <v>1426</v>
      </c>
      <c r="C432" s="145" t="s">
        <v>1725</v>
      </c>
      <c r="D432" s="129" t="s">
        <v>198</v>
      </c>
      <c r="E432" s="163"/>
      <c r="F432" s="149" t="s">
        <v>178</v>
      </c>
      <c r="G432" s="129"/>
      <c r="H432" s="166" t="s">
        <v>1739</v>
      </c>
      <c r="I432" s="163"/>
      <c r="J432" s="172"/>
      <c r="K432" s="147"/>
      <c r="L432" s="147" t="s">
        <v>586</v>
      </c>
      <c r="M432" s="125" t="s">
        <v>183</v>
      </c>
      <c r="N432" s="124">
        <f>SUM(O432:BO432)</f>
        <v>9000</v>
      </c>
      <c r="O432" s="127">
        <v>1200</v>
      </c>
      <c r="P432" s="127"/>
      <c r="Q432" s="127"/>
      <c r="R432" s="127"/>
      <c r="S432" s="127"/>
      <c r="T432" s="127">
        <v>1200</v>
      </c>
      <c r="U432" s="127"/>
      <c r="V432" s="127"/>
      <c r="W432" s="127"/>
      <c r="X432" s="127">
        <v>1200</v>
      </c>
      <c r="Y432" s="127"/>
      <c r="Z432" s="127"/>
      <c r="AA432" s="127"/>
      <c r="AB432" s="127">
        <v>1200</v>
      </c>
      <c r="AC432" s="127"/>
      <c r="AD432" s="127"/>
      <c r="AE432" s="127"/>
      <c r="AF432" s="127"/>
      <c r="AG432" s="127">
        <v>1200</v>
      </c>
      <c r="AH432" s="127"/>
      <c r="AI432" s="127"/>
      <c r="AJ432" s="127"/>
      <c r="AK432" s="165"/>
      <c r="AL432" s="165"/>
      <c r="AM432" s="165"/>
      <c r="AN432" s="165"/>
      <c r="AO432" s="165"/>
      <c r="AP432" s="165"/>
      <c r="AQ432" s="165"/>
      <c r="AR432" s="165"/>
      <c r="AS432" s="165"/>
      <c r="AT432" s="165"/>
      <c r="AU432" s="165"/>
      <c r="AV432" s="165"/>
      <c r="AW432" s="165"/>
      <c r="AX432" s="127">
        <v>1000</v>
      </c>
      <c r="AY432" s="127"/>
      <c r="AZ432" s="127"/>
      <c r="BA432" s="127"/>
      <c r="BB432" s="127">
        <v>1000</v>
      </c>
      <c r="BC432" s="127"/>
      <c r="BD432" s="127"/>
      <c r="BE432" s="127"/>
      <c r="BF432" s="127"/>
      <c r="BG432" s="127">
        <v>1000</v>
      </c>
      <c r="BH432" s="127"/>
      <c r="BI432" s="127"/>
      <c r="BJ432" s="127"/>
      <c r="BK432" s="165"/>
      <c r="BL432" s="165"/>
      <c r="BM432" s="165"/>
      <c r="BN432" s="165"/>
      <c r="BO432" s="165"/>
      <c r="BP432" s="127" t="s">
        <v>1465</v>
      </c>
      <c r="BQ432" s="165"/>
      <c r="BR432" s="165"/>
      <c r="BS432" s="165"/>
      <c r="BT432" s="165"/>
      <c r="BU432" s="165"/>
      <c r="BV432" s="165"/>
      <c r="BW432" s="165"/>
      <c r="BX432" s="165"/>
      <c r="BY432" s="165"/>
      <c r="BZ432" s="165"/>
    </row>
    <row r="433" spans="2:78" s="139" customFormat="1" outlineLevel="1">
      <c r="C433" s="140" t="s">
        <v>1740</v>
      </c>
      <c r="H433" s="141"/>
      <c r="I433" s="141"/>
      <c r="J433" s="141"/>
      <c r="K433" s="141"/>
      <c r="L433" s="141"/>
      <c r="M433" s="142"/>
      <c r="N433" s="143">
        <f>SUBTOTAL(9,N430:N432)</f>
        <v>9900</v>
      </c>
      <c r="O433" s="144">
        <f>SUBTOTAL(9,O430:O432)</f>
        <v>1400</v>
      </c>
      <c r="P433" s="144">
        <f t="shared" ref="P433:BO433" si="62">SUBTOTAL(9,P430:P432)</f>
        <v>0</v>
      </c>
      <c r="Q433" s="144">
        <f t="shared" si="62"/>
        <v>0</v>
      </c>
      <c r="R433" s="144">
        <f t="shared" si="62"/>
        <v>0</v>
      </c>
      <c r="S433" s="144">
        <f t="shared" si="62"/>
        <v>0</v>
      </c>
      <c r="T433" s="144">
        <f t="shared" si="62"/>
        <v>1200</v>
      </c>
      <c r="U433" s="144">
        <f t="shared" si="62"/>
        <v>0</v>
      </c>
      <c r="V433" s="144">
        <f t="shared" si="62"/>
        <v>0</v>
      </c>
      <c r="W433" s="144">
        <f t="shared" si="62"/>
        <v>0</v>
      </c>
      <c r="X433" s="144">
        <f t="shared" si="62"/>
        <v>1200</v>
      </c>
      <c r="Y433" s="144">
        <f t="shared" si="62"/>
        <v>0</v>
      </c>
      <c r="Z433" s="144">
        <f t="shared" si="62"/>
        <v>0</v>
      </c>
      <c r="AA433" s="144">
        <f t="shared" si="62"/>
        <v>0</v>
      </c>
      <c r="AB433" s="144">
        <f t="shared" si="62"/>
        <v>1200</v>
      </c>
      <c r="AC433" s="144">
        <f t="shared" si="62"/>
        <v>0</v>
      </c>
      <c r="AD433" s="144">
        <f t="shared" si="62"/>
        <v>0</v>
      </c>
      <c r="AE433" s="144">
        <f t="shared" si="62"/>
        <v>0</v>
      </c>
      <c r="AF433" s="144">
        <f t="shared" si="62"/>
        <v>0</v>
      </c>
      <c r="AG433" s="144">
        <f t="shared" si="62"/>
        <v>1200</v>
      </c>
      <c r="AH433" s="144">
        <f t="shared" si="62"/>
        <v>0</v>
      </c>
      <c r="AI433" s="144">
        <f t="shared" si="62"/>
        <v>0</v>
      </c>
      <c r="AJ433" s="144">
        <f t="shared" si="62"/>
        <v>0</v>
      </c>
      <c r="AK433" s="144">
        <f t="shared" si="62"/>
        <v>700</v>
      </c>
      <c r="AL433" s="144">
        <f t="shared" si="62"/>
        <v>0</v>
      </c>
      <c r="AM433" s="144">
        <f t="shared" si="62"/>
        <v>0</v>
      </c>
      <c r="AN433" s="144">
        <f t="shared" si="62"/>
        <v>0</v>
      </c>
      <c r="AO433" s="144">
        <f t="shared" si="62"/>
        <v>0</v>
      </c>
      <c r="AP433" s="144">
        <f t="shared" si="62"/>
        <v>0</v>
      </c>
      <c r="AQ433" s="144">
        <f t="shared" si="62"/>
        <v>0</v>
      </c>
      <c r="AR433" s="144">
        <f t="shared" si="62"/>
        <v>0</v>
      </c>
      <c r="AS433" s="144">
        <f t="shared" si="62"/>
        <v>0</v>
      </c>
      <c r="AT433" s="144">
        <f t="shared" si="62"/>
        <v>0</v>
      </c>
      <c r="AU433" s="144">
        <f t="shared" si="62"/>
        <v>0</v>
      </c>
      <c r="AV433" s="144">
        <f t="shared" si="62"/>
        <v>0</v>
      </c>
      <c r="AW433" s="144">
        <f t="shared" si="62"/>
        <v>0</v>
      </c>
      <c r="AX433" s="144">
        <f t="shared" si="62"/>
        <v>1000</v>
      </c>
      <c r="AY433" s="144">
        <f t="shared" si="62"/>
        <v>0</v>
      </c>
      <c r="AZ433" s="144">
        <f t="shared" si="62"/>
        <v>0</v>
      </c>
      <c r="BA433" s="144">
        <f t="shared" si="62"/>
        <v>0</v>
      </c>
      <c r="BB433" s="144">
        <f t="shared" si="62"/>
        <v>1000</v>
      </c>
      <c r="BC433" s="144">
        <f t="shared" si="62"/>
        <v>0</v>
      </c>
      <c r="BD433" s="144">
        <f t="shared" si="62"/>
        <v>0</v>
      </c>
      <c r="BE433" s="144">
        <f t="shared" si="62"/>
        <v>0</v>
      </c>
      <c r="BF433" s="144">
        <f t="shared" si="62"/>
        <v>0</v>
      </c>
      <c r="BG433" s="144">
        <f t="shared" si="62"/>
        <v>1000</v>
      </c>
      <c r="BH433" s="144">
        <f t="shared" si="62"/>
        <v>0</v>
      </c>
      <c r="BI433" s="144">
        <f t="shared" si="62"/>
        <v>0</v>
      </c>
      <c r="BJ433" s="144">
        <f t="shared" si="62"/>
        <v>0</v>
      </c>
      <c r="BK433" s="144">
        <f t="shared" si="62"/>
        <v>0</v>
      </c>
      <c r="BL433" s="144">
        <f t="shared" si="62"/>
        <v>0</v>
      </c>
      <c r="BM433" s="144">
        <f t="shared" si="62"/>
        <v>0</v>
      </c>
      <c r="BN433" s="144">
        <f t="shared" si="62"/>
        <v>0</v>
      </c>
      <c r="BO433" s="144">
        <f t="shared" si="62"/>
        <v>0</v>
      </c>
      <c r="BP433" s="144"/>
      <c r="BQ433" s="144"/>
      <c r="BR433" s="144"/>
      <c r="BS433" s="144"/>
      <c r="BT433" s="144"/>
      <c r="BU433" s="144"/>
      <c r="BV433" s="144"/>
      <c r="BW433" s="144"/>
      <c r="BX433" s="144"/>
      <c r="BY433" s="144"/>
      <c r="BZ433" s="144">
        <f>SUBTOTAL(9,BZ430:BZ431)</f>
        <v>0</v>
      </c>
    </row>
    <row r="434" spans="2:78" s="121" customFormat="1" outlineLevel="2">
      <c r="B434" s="121" t="s">
        <v>1426</v>
      </c>
      <c r="C434" s="121" t="s">
        <v>1741</v>
      </c>
      <c r="D434" s="145" t="s">
        <v>198</v>
      </c>
      <c r="F434" s="149" t="s">
        <v>178</v>
      </c>
      <c r="H434" s="124" t="s">
        <v>1742</v>
      </c>
      <c r="I434" s="124"/>
      <c r="J434" s="124"/>
      <c r="K434" s="124" t="s">
        <v>1743</v>
      </c>
      <c r="L434" s="124" t="s">
        <v>1244</v>
      </c>
      <c r="M434" s="125" t="s">
        <v>183</v>
      </c>
      <c r="N434" s="126">
        <f t="shared" ref="N434:N443" si="63">SUM(O434:BO434)</f>
        <v>194</v>
      </c>
      <c r="O434" s="127">
        <v>194</v>
      </c>
      <c r="P434" s="127"/>
      <c r="Q434" s="127"/>
      <c r="R434" s="127"/>
      <c r="S434" s="127"/>
      <c r="T434" s="127">
        <v>0</v>
      </c>
      <c r="U434" s="127"/>
      <c r="V434" s="127"/>
      <c r="W434" s="127"/>
      <c r="X434" s="127">
        <v>0</v>
      </c>
      <c r="Y434" s="127"/>
      <c r="Z434" s="127"/>
      <c r="AA434" s="127"/>
      <c r="AB434" s="127">
        <v>0</v>
      </c>
      <c r="AC434" s="127"/>
      <c r="AD434" s="127"/>
      <c r="AE434" s="127"/>
      <c r="AF434" s="127"/>
      <c r="AG434" s="127">
        <v>0</v>
      </c>
      <c r="AH434" s="127"/>
      <c r="AI434" s="127"/>
      <c r="AJ434" s="127"/>
      <c r="AK434" s="127">
        <v>0</v>
      </c>
      <c r="AL434" s="127"/>
      <c r="AM434" s="127"/>
      <c r="AN434" s="127"/>
      <c r="AO434" s="127">
        <v>0</v>
      </c>
      <c r="AP434" s="127"/>
      <c r="AQ434" s="127"/>
      <c r="AR434" s="127"/>
      <c r="AS434" s="127"/>
      <c r="AT434" s="127">
        <v>0</v>
      </c>
      <c r="AU434" s="127"/>
      <c r="AV434" s="127"/>
      <c r="AW434" s="127"/>
      <c r="AX434" s="127">
        <v>0</v>
      </c>
      <c r="AY434" s="127"/>
      <c r="AZ434" s="127"/>
      <c r="BA434" s="127"/>
      <c r="BB434" s="127">
        <v>0</v>
      </c>
      <c r="BC434" s="127"/>
      <c r="BD434" s="127"/>
      <c r="BE434" s="127"/>
      <c r="BF434" s="127"/>
      <c r="BG434" s="127">
        <v>0</v>
      </c>
      <c r="BH434" s="127"/>
      <c r="BI434" s="127"/>
      <c r="BJ434" s="127"/>
      <c r="BK434" s="127">
        <v>0</v>
      </c>
      <c r="BL434" s="127"/>
      <c r="BM434" s="127"/>
      <c r="BN434" s="127"/>
      <c r="BO434" s="127"/>
      <c r="BP434" s="127" t="s">
        <v>1744</v>
      </c>
      <c r="BQ434" s="127" t="s">
        <v>786</v>
      </c>
      <c r="BR434" s="127" t="s">
        <v>1745</v>
      </c>
      <c r="BS434" s="127" t="s">
        <v>1746</v>
      </c>
      <c r="BT434" s="127" t="s">
        <v>239</v>
      </c>
      <c r="BU434" s="127" t="s">
        <v>876</v>
      </c>
      <c r="BV434" s="127" t="s">
        <v>205</v>
      </c>
      <c r="BW434" s="127" t="s">
        <v>343</v>
      </c>
      <c r="BX434" s="127" t="s">
        <v>1747</v>
      </c>
      <c r="BY434" s="127" t="s">
        <v>189</v>
      </c>
      <c r="BZ434" s="128" t="s">
        <v>1250</v>
      </c>
    </row>
    <row r="435" spans="2:78" s="121" customFormat="1" outlineLevel="2">
      <c r="B435" s="121" t="s">
        <v>1426</v>
      </c>
      <c r="C435" s="121" t="s">
        <v>1741</v>
      </c>
      <c r="D435" s="145" t="s">
        <v>198</v>
      </c>
      <c r="F435" s="149" t="s">
        <v>178</v>
      </c>
      <c r="G435" s="107" t="s">
        <v>1748</v>
      </c>
      <c r="H435" s="122" t="s">
        <v>1749</v>
      </c>
      <c r="I435" s="124"/>
      <c r="J435" s="124"/>
      <c r="K435" s="124" t="s">
        <v>189</v>
      </c>
      <c r="L435" s="124" t="s">
        <v>1244</v>
      </c>
      <c r="M435" s="125" t="s">
        <v>183</v>
      </c>
      <c r="N435" s="126">
        <f t="shared" si="63"/>
        <v>0</v>
      </c>
      <c r="O435" s="127"/>
      <c r="P435" s="127"/>
      <c r="Q435" s="127"/>
      <c r="R435" s="127"/>
      <c r="S435" s="127"/>
      <c r="T435" s="127">
        <v>0</v>
      </c>
      <c r="U435" s="127"/>
      <c r="V435" s="127"/>
      <c r="W435" s="127"/>
      <c r="X435" s="127">
        <v>0</v>
      </c>
      <c r="Y435" s="127"/>
      <c r="Z435" s="127"/>
      <c r="AA435" s="127"/>
      <c r="AB435" s="127">
        <v>0</v>
      </c>
      <c r="AC435" s="127"/>
      <c r="AD435" s="127"/>
      <c r="AE435" s="127"/>
      <c r="AF435" s="127"/>
      <c r="AG435" s="127">
        <v>0</v>
      </c>
      <c r="AH435" s="127"/>
      <c r="AI435" s="127"/>
      <c r="AJ435" s="127"/>
      <c r="AK435" s="127">
        <v>0</v>
      </c>
      <c r="AL435" s="127"/>
      <c r="AM435" s="127"/>
      <c r="AN435" s="127"/>
      <c r="AO435" s="127">
        <v>0</v>
      </c>
      <c r="AP435" s="127"/>
      <c r="AQ435" s="127"/>
      <c r="AR435" s="127"/>
      <c r="AS435" s="127"/>
      <c r="AT435" s="127">
        <v>0</v>
      </c>
      <c r="AU435" s="127"/>
      <c r="AV435" s="127"/>
      <c r="AW435" s="127"/>
      <c r="AX435" s="127">
        <v>0</v>
      </c>
      <c r="AY435" s="127"/>
      <c r="AZ435" s="127"/>
      <c r="BA435" s="127"/>
      <c r="BB435" s="127">
        <v>0</v>
      </c>
      <c r="BC435" s="127"/>
      <c r="BD435" s="127"/>
      <c r="BE435" s="127"/>
      <c r="BF435" s="127"/>
      <c r="BG435" s="127">
        <v>0</v>
      </c>
      <c r="BH435" s="127"/>
      <c r="BI435" s="127"/>
      <c r="BJ435" s="127"/>
      <c r="BK435" s="127">
        <v>0</v>
      </c>
      <c r="BL435" s="127"/>
      <c r="BM435" s="127"/>
      <c r="BN435" s="127"/>
      <c r="BO435" s="127"/>
      <c r="BP435" s="127" t="s">
        <v>1750</v>
      </c>
      <c r="BQ435" s="127" t="s">
        <v>786</v>
      </c>
      <c r="BR435" s="127" t="s">
        <v>1751</v>
      </c>
      <c r="BS435" s="127" t="s">
        <v>1752</v>
      </c>
      <c r="BT435" s="127" t="s">
        <v>188</v>
      </c>
      <c r="BU435" s="127" t="s">
        <v>189</v>
      </c>
      <c r="BV435" s="127" t="s">
        <v>1278</v>
      </c>
      <c r="BW435" s="127" t="s">
        <v>191</v>
      </c>
      <c r="BX435" s="127" t="s">
        <v>1753</v>
      </c>
      <c r="BY435" s="127" t="s">
        <v>189</v>
      </c>
      <c r="BZ435" s="128" t="s">
        <v>1754</v>
      </c>
    </row>
    <row r="436" spans="2:78" s="121" customFormat="1" outlineLevel="2">
      <c r="B436" s="121" t="s">
        <v>1426</v>
      </c>
      <c r="C436" s="121" t="s">
        <v>1741</v>
      </c>
      <c r="D436" s="145" t="s">
        <v>198</v>
      </c>
      <c r="F436" s="149" t="s">
        <v>178</v>
      </c>
      <c r="H436" s="124" t="s">
        <v>1755</v>
      </c>
      <c r="I436" s="124"/>
      <c r="J436" s="124"/>
      <c r="K436" s="124" t="s">
        <v>1756</v>
      </c>
      <c r="L436" s="124" t="s">
        <v>1244</v>
      </c>
      <c r="M436" s="125" t="s">
        <v>183</v>
      </c>
      <c r="N436" s="126">
        <f t="shared" si="63"/>
        <v>580</v>
      </c>
      <c r="O436" s="127">
        <v>580</v>
      </c>
      <c r="P436" s="127"/>
      <c r="Q436" s="127"/>
      <c r="R436" s="127"/>
      <c r="S436" s="127"/>
      <c r="T436" s="127">
        <v>0</v>
      </c>
      <c r="U436" s="127"/>
      <c r="V436" s="127"/>
      <c r="W436" s="127"/>
      <c r="X436" s="127">
        <v>0</v>
      </c>
      <c r="Y436" s="127"/>
      <c r="Z436" s="127"/>
      <c r="AA436" s="127"/>
      <c r="AB436" s="127">
        <v>0</v>
      </c>
      <c r="AC436" s="127"/>
      <c r="AD436" s="127"/>
      <c r="AE436" s="127"/>
      <c r="AF436" s="127"/>
      <c r="AG436" s="127">
        <v>0</v>
      </c>
      <c r="AH436" s="127"/>
      <c r="AI436" s="127"/>
      <c r="AJ436" s="127"/>
      <c r="AK436" s="127">
        <v>0</v>
      </c>
      <c r="AL436" s="127"/>
      <c r="AM436" s="127"/>
      <c r="AN436" s="127"/>
      <c r="AO436" s="127">
        <v>0</v>
      </c>
      <c r="AP436" s="127"/>
      <c r="AQ436" s="127"/>
      <c r="AR436" s="127"/>
      <c r="AS436" s="127"/>
      <c r="AT436" s="127">
        <v>0</v>
      </c>
      <c r="AU436" s="127"/>
      <c r="AV436" s="127"/>
      <c r="AW436" s="127"/>
      <c r="AX436" s="127">
        <v>0</v>
      </c>
      <c r="AY436" s="127"/>
      <c r="AZ436" s="127"/>
      <c r="BA436" s="127"/>
      <c r="BB436" s="127">
        <v>0</v>
      </c>
      <c r="BC436" s="127"/>
      <c r="BD436" s="127"/>
      <c r="BE436" s="127"/>
      <c r="BF436" s="127"/>
      <c r="BG436" s="127">
        <v>0</v>
      </c>
      <c r="BH436" s="127"/>
      <c r="BI436" s="127"/>
      <c r="BJ436" s="127"/>
      <c r="BK436" s="127">
        <v>0</v>
      </c>
      <c r="BL436" s="127"/>
      <c r="BM436" s="127"/>
      <c r="BN436" s="127"/>
      <c r="BO436" s="127"/>
      <c r="BP436" s="127" t="s">
        <v>1757</v>
      </c>
      <c r="BQ436" s="127" t="s">
        <v>786</v>
      </c>
      <c r="BR436" s="127" t="s">
        <v>1758</v>
      </c>
      <c r="BS436" s="127" t="s">
        <v>1759</v>
      </c>
      <c r="BT436" s="127" t="s">
        <v>188</v>
      </c>
      <c r="BU436" s="127" t="s">
        <v>1012</v>
      </c>
      <c r="BV436" s="127" t="s">
        <v>205</v>
      </c>
      <c r="BW436" s="127" t="s">
        <v>191</v>
      </c>
      <c r="BX436" s="127" t="s">
        <v>1760</v>
      </c>
      <c r="BY436" s="127" t="s">
        <v>1761</v>
      </c>
      <c r="BZ436" s="128" t="s">
        <v>1754</v>
      </c>
    </row>
    <row r="437" spans="2:78" s="121" customFormat="1" outlineLevel="2">
      <c r="B437" s="121" t="s">
        <v>1426</v>
      </c>
      <c r="C437" s="121" t="s">
        <v>1741</v>
      </c>
      <c r="D437" s="145" t="s">
        <v>198</v>
      </c>
      <c r="F437" s="149" t="s">
        <v>178</v>
      </c>
      <c r="H437" s="124" t="s">
        <v>1762</v>
      </c>
      <c r="I437" s="124"/>
      <c r="J437" s="124"/>
      <c r="K437" s="124" t="s">
        <v>1763</v>
      </c>
      <c r="L437" s="124" t="s">
        <v>1244</v>
      </c>
      <c r="M437" s="125" t="s">
        <v>183</v>
      </c>
      <c r="N437" s="126">
        <f t="shared" si="63"/>
        <v>925</v>
      </c>
      <c r="O437" s="127">
        <v>0</v>
      </c>
      <c r="P437" s="127"/>
      <c r="Q437" s="127"/>
      <c r="R437" s="127"/>
      <c r="S437" s="127"/>
      <c r="T437" s="127">
        <v>0</v>
      </c>
      <c r="U437" s="127"/>
      <c r="V437" s="127"/>
      <c r="W437" s="127"/>
      <c r="X437" s="127">
        <v>0</v>
      </c>
      <c r="Y437" s="127"/>
      <c r="Z437" s="127"/>
      <c r="AA437" s="127"/>
      <c r="AB437" s="127">
        <v>0</v>
      </c>
      <c r="AC437" s="127"/>
      <c r="AD437" s="127"/>
      <c r="AE437" s="127"/>
      <c r="AF437" s="127"/>
      <c r="AG437" s="127">
        <v>0</v>
      </c>
      <c r="AH437" s="127"/>
      <c r="AI437" s="127"/>
      <c r="AJ437" s="127"/>
      <c r="AK437" s="127">
        <v>0</v>
      </c>
      <c r="AL437" s="127"/>
      <c r="AM437" s="127"/>
      <c r="AN437" s="127"/>
      <c r="AO437" s="127">
        <v>0</v>
      </c>
      <c r="AP437" s="127"/>
      <c r="AQ437" s="127"/>
      <c r="AR437" s="127"/>
      <c r="AS437" s="127"/>
      <c r="AT437" s="127">
        <v>925</v>
      </c>
      <c r="AU437" s="127"/>
      <c r="AV437" s="127"/>
      <c r="AW437" s="127"/>
      <c r="AX437" s="127">
        <v>0</v>
      </c>
      <c r="AY437" s="127"/>
      <c r="AZ437" s="127"/>
      <c r="BA437" s="127"/>
      <c r="BB437" s="127">
        <v>0</v>
      </c>
      <c r="BC437" s="127"/>
      <c r="BD437" s="127"/>
      <c r="BE437" s="127"/>
      <c r="BF437" s="127"/>
      <c r="BG437" s="127">
        <v>0</v>
      </c>
      <c r="BH437" s="127"/>
      <c r="BI437" s="127"/>
      <c r="BJ437" s="127"/>
      <c r="BK437" s="127">
        <v>0</v>
      </c>
      <c r="BL437" s="127"/>
      <c r="BM437" s="127"/>
      <c r="BN437" s="127"/>
      <c r="BO437" s="127"/>
      <c r="BP437" s="127" t="s">
        <v>1764</v>
      </c>
      <c r="BQ437" s="127" t="s">
        <v>1225</v>
      </c>
      <c r="BR437" s="127" t="s">
        <v>189</v>
      </c>
      <c r="BS437" s="127" t="s">
        <v>189</v>
      </c>
      <c r="BT437" s="127" t="s">
        <v>303</v>
      </c>
      <c r="BU437" s="127" t="s">
        <v>189</v>
      </c>
      <c r="BV437" s="127" t="s">
        <v>205</v>
      </c>
      <c r="BW437" s="127" t="s">
        <v>191</v>
      </c>
      <c r="BX437" s="127" t="s">
        <v>189</v>
      </c>
      <c r="BY437" s="127" t="s">
        <v>189</v>
      </c>
      <c r="BZ437" s="128" t="s">
        <v>1250</v>
      </c>
    </row>
    <row r="438" spans="2:78" s="121" customFormat="1" outlineLevel="2">
      <c r="B438" s="121" t="s">
        <v>1426</v>
      </c>
      <c r="C438" s="121" t="s">
        <v>1741</v>
      </c>
      <c r="D438" s="145" t="s">
        <v>198</v>
      </c>
      <c r="F438" s="149" t="s">
        <v>178</v>
      </c>
      <c r="H438" s="122" t="s">
        <v>1273</v>
      </c>
      <c r="I438" s="123" t="s">
        <v>972</v>
      </c>
      <c r="J438" s="124"/>
      <c r="K438" s="124" t="s">
        <v>1274</v>
      </c>
      <c r="L438" s="124" t="s">
        <v>1244</v>
      </c>
      <c r="M438" s="125" t="s">
        <v>183</v>
      </c>
      <c r="N438" s="126">
        <f t="shared" si="63"/>
        <v>400</v>
      </c>
      <c r="O438" s="127">
        <v>400</v>
      </c>
      <c r="P438" s="127"/>
      <c r="Q438" s="127"/>
      <c r="R438" s="127"/>
      <c r="S438" s="127"/>
      <c r="T438" s="127">
        <v>0</v>
      </c>
      <c r="U438" s="127"/>
      <c r="V438" s="127"/>
      <c r="W438" s="127"/>
      <c r="X438" s="127">
        <v>0</v>
      </c>
      <c r="Y438" s="127"/>
      <c r="Z438" s="127"/>
      <c r="AA438" s="127"/>
      <c r="AB438" s="127">
        <v>0</v>
      </c>
      <c r="AC438" s="127"/>
      <c r="AD438" s="127"/>
      <c r="AE438" s="127"/>
      <c r="AF438" s="127"/>
      <c r="AG438" s="127">
        <v>0</v>
      </c>
      <c r="AH438" s="127"/>
      <c r="AI438" s="127"/>
      <c r="AJ438" s="127"/>
      <c r="AK438" s="127">
        <v>0</v>
      </c>
      <c r="AL438" s="127"/>
      <c r="AM438" s="127"/>
      <c r="AN438" s="127"/>
      <c r="AO438" s="127">
        <v>0</v>
      </c>
      <c r="AP438" s="127"/>
      <c r="AQ438" s="127"/>
      <c r="AR438" s="127"/>
      <c r="AS438" s="127"/>
      <c r="AT438" s="127">
        <v>0</v>
      </c>
      <c r="AU438" s="127"/>
      <c r="AV438" s="127"/>
      <c r="AW438" s="127"/>
      <c r="AX438" s="127">
        <v>0</v>
      </c>
      <c r="AY438" s="127"/>
      <c r="AZ438" s="127"/>
      <c r="BA438" s="127"/>
      <c r="BB438" s="127">
        <v>0</v>
      </c>
      <c r="BC438" s="127"/>
      <c r="BD438" s="127"/>
      <c r="BE438" s="127"/>
      <c r="BF438" s="127"/>
      <c r="BG438" s="127">
        <v>0</v>
      </c>
      <c r="BH438" s="127"/>
      <c r="BI438" s="127"/>
      <c r="BJ438" s="127"/>
      <c r="BK438" s="127">
        <v>0</v>
      </c>
      <c r="BL438" s="127"/>
      <c r="BM438" s="127"/>
      <c r="BN438" s="127"/>
      <c r="BO438" s="127"/>
      <c r="BP438" s="127" t="s">
        <v>1275</v>
      </c>
      <c r="BQ438" s="127" t="s">
        <v>786</v>
      </c>
      <c r="BR438" s="127" t="s">
        <v>1276</v>
      </c>
      <c r="BS438" s="127" t="s">
        <v>1277</v>
      </c>
      <c r="BT438" s="127" t="s">
        <v>188</v>
      </c>
      <c r="BU438" s="127" t="s">
        <v>189</v>
      </c>
      <c r="BV438" s="127" t="s">
        <v>1278</v>
      </c>
      <c r="BW438" s="127" t="s">
        <v>191</v>
      </c>
      <c r="BX438" s="127" t="s">
        <v>305</v>
      </c>
      <c r="BY438" s="127" t="s">
        <v>596</v>
      </c>
      <c r="BZ438" s="128" t="s">
        <v>1279</v>
      </c>
    </row>
    <row r="439" spans="2:78" s="121" customFormat="1" outlineLevel="2">
      <c r="B439" s="107" t="s">
        <v>1426</v>
      </c>
      <c r="C439" s="107" t="s">
        <v>1741</v>
      </c>
      <c r="D439" s="145" t="s">
        <v>198</v>
      </c>
      <c r="F439" s="107" t="s">
        <v>178</v>
      </c>
      <c r="G439" s="107" t="s">
        <v>1765</v>
      </c>
      <c r="H439" s="124" t="s">
        <v>1766</v>
      </c>
      <c r="I439" s="124"/>
      <c r="J439" s="124"/>
      <c r="K439" s="124" t="s">
        <v>1767</v>
      </c>
      <c r="L439" s="124" t="s">
        <v>1244</v>
      </c>
      <c r="M439" s="125" t="s">
        <v>183</v>
      </c>
      <c r="N439" s="126">
        <f>SUM(O439:BO439)</f>
        <v>1700</v>
      </c>
      <c r="O439" s="127">
        <v>0</v>
      </c>
      <c r="P439" s="127"/>
      <c r="Q439" s="127"/>
      <c r="R439" s="127"/>
      <c r="S439" s="127"/>
      <c r="T439" s="127">
        <v>0</v>
      </c>
      <c r="U439" s="127"/>
      <c r="V439" s="127"/>
      <c r="W439" s="127"/>
      <c r="X439" s="127">
        <v>0</v>
      </c>
      <c r="Y439" s="127"/>
      <c r="Z439" s="127"/>
      <c r="AA439" s="127"/>
      <c r="AB439" s="127">
        <v>0</v>
      </c>
      <c r="AC439" s="127"/>
      <c r="AD439" s="127"/>
      <c r="AE439" s="127"/>
      <c r="AF439" s="127"/>
      <c r="AG439" s="127">
        <v>0</v>
      </c>
      <c r="AH439" s="127"/>
      <c r="AI439" s="127"/>
      <c r="AJ439" s="127"/>
      <c r="AK439" s="127">
        <v>0</v>
      </c>
      <c r="AL439" s="127"/>
      <c r="AM439" s="127"/>
      <c r="AN439" s="127"/>
      <c r="AO439" s="127">
        <v>0</v>
      </c>
      <c r="AP439" s="127"/>
      <c r="AQ439" s="127"/>
      <c r="AR439" s="127"/>
      <c r="AS439" s="127"/>
      <c r="AT439" s="127">
        <v>0</v>
      </c>
      <c r="AU439" s="127"/>
      <c r="AV439" s="127"/>
      <c r="AW439" s="127"/>
      <c r="AX439" s="127">
        <v>0</v>
      </c>
      <c r="AY439" s="127"/>
      <c r="AZ439" s="127"/>
      <c r="BA439" s="127"/>
      <c r="BB439" s="127">
        <v>1700</v>
      </c>
      <c r="BC439" s="127"/>
      <c r="BD439" s="127"/>
      <c r="BE439" s="127"/>
      <c r="BF439" s="127"/>
      <c r="BG439" s="127">
        <v>0</v>
      </c>
      <c r="BH439" s="127"/>
      <c r="BI439" s="127"/>
      <c r="BJ439" s="127"/>
      <c r="BK439" s="127">
        <v>0</v>
      </c>
      <c r="BL439" s="127"/>
      <c r="BM439" s="127"/>
      <c r="BN439" s="127"/>
      <c r="BO439" s="127"/>
      <c r="BP439" s="127" t="s">
        <v>1768</v>
      </c>
      <c r="BQ439" s="127" t="s">
        <v>1166</v>
      </c>
      <c r="BR439" s="127" t="s">
        <v>1769</v>
      </c>
      <c r="BS439" s="127" t="s">
        <v>1770</v>
      </c>
      <c r="BT439" s="127" t="s">
        <v>239</v>
      </c>
      <c r="BU439" s="127" t="s">
        <v>189</v>
      </c>
      <c r="BV439" s="127" t="s">
        <v>205</v>
      </c>
      <c r="BW439" s="127" t="s">
        <v>191</v>
      </c>
      <c r="BX439" s="127" t="s">
        <v>534</v>
      </c>
      <c r="BY439" s="127" t="s">
        <v>256</v>
      </c>
      <c r="BZ439" s="131" t="s">
        <v>1256</v>
      </c>
    </row>
    <row r="440" spans="2:78" s="121" customFormat="1" outlineLevel="2">
      <c r="B440" s="121" t="s">
        <v>1426</v>
      </c>
      <c r="C440" s="121" t="s">
        <v>1741</v>
      </c>
      <c r="D440" s="145" t="s">
        <v>198</v>
      </c>
      <c r="F440" s="149" t="s">
        <v>178</v>
      </c>
      <c r="H440" s="124" t="s">
        <v>1771</v>
      </c>
      <c r="I440" s="124"/>
      <c r="J440" s="124"/>
      <c r="K440" s="124" t="s">
        <v>1772</v>
      </c>
      <c r="L440" s="124" t="s">
        <v>1244</v>
      </c>
      <c r="M440" s="125" t="s">
        <v>183</v>
      </c>
      <c r="N440" s="126">
        <f t="shared" si="63"/>
        <v>650</v>
      </c>
      <c r="O440" s="127">
        <v>0</v>
      </c>
      <c r="P440" s="127"/>
      <c r="Q440" s="127"/>
      <c r="R440" s="127"/>
      <c r="S440" s="127"/>
      <c r="T440" s="127">
        <v>0</v>
      </c>
      <c r="U440" s="127"/>
      <c r="V440" s="127"/>
      <c r="W440" s="127"/>
      <c r="X440" s="127">
        <v>0</v>
      </c>
      <c r="Y440" s="127"/>
      <c r="Z440" s="127"/>
      <c r="AA440" s="127"/>
      <c r="AB440" s="127">
        <v>0</v>
      </c>
      <c r="AC440" s="127"/>
      <c r="AD440" s="127"/>
      <c r="AE440" s="127"/>
      <c r="AF440" s="127"/>
      <c r="AG440" s="127">
        <v>0</v>
      </c>
      <c r="AH440" s="127"/>
      <c r="AI440" s="127"/>
      <c r="AJ440" s="127"/>
      <c r="AK440" s="127">
        <v>0</v>
      </c>
      <c r="AL440" s="127"/>
      <c r="AM440" s="127"/>
      <c r="AN440" s="127"/>
      <c r="AO440" s="127">
        <v>0</v>
      </c>
      <c r="AP440" s="127"/>
      <c r="AQ440" s="127"/>
      <c r="AR440" s="127"/>
      <c r="AS440" s="127"/>
      <c r="AT440" s="127">
        <v>650</v>
      </c>
      <c r="AU440" s="127"/>
      <c r="AV440" s="127"/>
      <c r="AW440" s="127"/>
      <c r="AX440" s="127">
        <v>0</v>
      </c>
      <c r="AY440" s="127"/>
      <c r="AZ440" s="127"/>
      <c r="BA440" s="127"/>
      <c r="BB440" s="127">
        <v>0</v>
      </c>
      <c r="BC440" s="127"/>
      <c r="BD440" s="127"/>
      <c r="BE440" s="127"/>
      <c r="BF440" s="127"/>
      <c r="BG440" s="127">
        <v>0</v>
      </c>
      <c r="BH440" s="127"/>
      <c r="BI440" s="127"/>
      <c r="BJ440" s="127"/>
      <c r="BK440" s="127">
        <v>0</v>
      </c>
      <c r="BL440" s="127"/>
      <c r="BM440" s="127"/>
      <c r="BN440" s="127"/>
      <c r="BO440" s="127"/>
      <c r="BP440" s="127" t="s">
        <v>1773</v>
      </c>
      <c r="BQ440" s="127" t="s">
        <v>786</v>
      </c>
      <c r="BR440" s="127" t="s">
        <v>1774</v>
      </c>
      <c r="BS440" s="127" t="s">
        <v>1775</v>
      </c>
      <c r="BT440" s="127" t="s">
        <v>303</v>
      </c>
      <c r="BU440" s="127" t="s">
        <v>189</v>
      </c>
      <c r="BV440" s="127" t="s">
        <v>1327</v>
      </c>
      <c r="BW440" s="127" t="s">
        <v>343</v>
      </c>
      <c r="BX440" s="127" t="s">
        <v>870</v>
      </c>
      <c r="BY440" s="127" t="s">
        <v>1776</v>
      </c>
      <c r="BZ440" s="128" t="s">
        <v>1754</v>
      </c>
    </row>
    <row r="441" spans="2:78" s="121" customFormat="1" outlineLevel="2">
      <c r="B441" s="121" t="s">
        <v>1426</v>
      </c>
      <c r="C441" s="121" t="s">
        <v>1741</v>
      </c>
      <c r="D441" s="145" t="s">
        <v>198</v>
      </c>
      <c r="F441" s="149" t="s">
        <v>178</v>
      </c>
      <c r="G441" s="107" t="s">
        <v>548</v>
      </c>
      <c r="H441" s="122" t="s">
        <v>1777</v>
      </c>
      <c r="I441" s="124"/>
      <c r="J441" s="124"/>
      <c r="K441" s="124" t="s">
        <v>1772</v>
      </c>
      <c r="L441" s="124" t="s">
        <v>1244</v>
      </c>
      <c r="M441" s="125" t="s">
        <v>183</v>
      </c>
      <c r="N441" s="126">
        <f t="shared" si="63"/>
        <v>0</v>
      </c>
      <c r="O441" s="127">
        <v>0</v>
      </c>
      <c r="P441" s="127"/>
      <c r="Q441" s="127"/>
      <c r="R441" s="127"/>
      <c r="S441" s="127"/>
      <c r="T441" s="127">
        <v>0</v>
      </c>
      <c r="U441" s="127"/>
      <c r="V441" s="127"/>
      <c r="W441" s="127"/>
      <c r="X441" s="127">
        <v>0</v>
      </c>
      <c r="Y441" s="127"/>
      <c r="Z441" s="127"/>
      <c r="AA441" s="127"/>
      <c r="AB441" s="127">
        <v>0</v>
      </c>
      <c r="AC441" s="127"/>
      <c r="AD441" s="127"/>
      <c r="AE441" s="127"/>
      <c r="AF441" s="127"/>
      <c r="AG441" s="127">
        <v>0</v>
      </c>
      <c r="AH441" s="127"/>
      <c r="AI441" s="127"/>
      <c r="AJ441" s="127"/>
      <c r="AK441" s="127">
        <v>0</v>
      </c>
      <c r="AL441" s="127"/>
      <c r="AM441" s="127"/>
      <c r="AN441" s="127"/>
      <c r="AO441" s="127">
        <v>0</v>
      </c>
      <c r="AP441" s="127"/>
      <c r="AQ441" s="127"/>
      <c r="AR441" s="127"/>
      <c r="AS441" s="127"/>
      <c r="AT441" s="127">
        <v>0</v>
      </c>
      <c r="AU441" s="127"/>
      <c r="AV441" s="127"/>
      <c r="AW441" s="127"/>
      <c r="AX441" s="127">
        <v>0</v>
      </c>
      <c r="AY441" s="127"/>
      <c r="AZ441" s="127"/>
      <c r="BA441" s="127"/>
      <c r="BB441" s="127">
        <v>0</v>
      </c>
      <c r="BC441" s="127"/>
      <c r="BD441" s="127"/>
      <c r="BE441" s="127"/>
      <c r="BF441" s="127"/>
      <c r="BG441" s="127">
        <v>0</v>
      </c>
      <c r="BH441" s="127"/>
      <c r="BI441" s="127"/>
      <c r="BJ441" s="127"/>
      <c r="BK441" s="127">
        <v>0</v>
      </c>
      <c r="BL441" s="127"/>
      <c r="BM441" s="127"/>
      <c r="BN441" s="127"/>
      <c r="BO441" s="127"/>
      <c r="BP441" s="127" t="s">
        <v>1773</v>
      </c>
      <c r="BQ441" s="127" t="s">
        <v>786</v>
      </c>
      <c r="BR441" s="127" t="s">
        <v>1774</v>
      </c>
      <c r="BS441" s="127" t="s">
        <v>1775</v>
      </c>
      <c r="BT441" s="127" t="s">
        <v>188</v>
      </c>
      <c r="BU441" s="127" t="s">
        <v>189</v>
      </c>
      <c r="BV441" s="127" t="s">
        <v>1327</v>
      </c>
      <c r="BW441" s="127" t="s">
        <v>343</v>
      </c>
      <c r="BX441" s="127" t="s">
        <v>870</v>
      </c>
      <c r="BY441" s="127" t="s">
        <v>1776</v>
      </c>
      <c r="BZ441" s="128" t="s">
        <v>1754</v>
      </c>
    </row>
    <row r="442" spans="2:78" s="121" customFormat="1" outlineLevel="2">
      <c r="B442" s="121" t="s">
        <v>1426</v>
      </c>
      <c r="C442" s="121" t="s">
        <v>1741</v>
      </c>
      <c r="D442" s="145" t="s">
        <v>198</v>
      </c>
      <c r="E442" s="145" t="s">
        <v>1778</v>
      </c>
      <c r="F442" s="149" t="s">
        <v>178</v>
      </c>
      <c r="G442" s="107"/>
      <c r="H442" s="122" t="s">
        <v>1779</v>
      </c>
      <c r="I442" s="124"/>
      <c r="J442" s="124"/>
      <c r="K442" s="124" t="s">
        <v>1342</v>
      </c>
      <c r="L442" s="124" t="s">
        <v>1244</v>
      </c>
      <c r="M442" s="125" t="s">
        <v>183</v>
      </c>
      <c r="N442" s="126">
        <f t="shared" si="63"/>
        <v>1200</v>
      </c>
      <c r="O442" s="130">
        <v>1200</v>
      </c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27"/>
      <c r="AH442" s="127"/>
      <c r="AI442" s="127"/>
      <c r="AJ442" s="127"/>
      <c r="AK442" s="127"/>
      <c r="AL442" s="127"/>
      <c r="AM442" s="127"/>
      <c r="AN442" s="127"/>
      <c r="AO442" s="127"/>
      <c r="AP442" s="127"/>
      <c r="AQ442" s="127"/>
      <c r="AR442" s="127"/>
      <c r="AS442" s="127"/>
      <c r="AT442" s="127"/>
      <c r="AU442" s="127"/>
      <c r="AV442" s="127"/>
      <c r="AW442" s="127"/>
      <c r="AX442" s="127"/>
      <c r="AY442" s="127"/>
      <c r="AZ442" s="127"/>
      <c r="BA442" s="127"/>
      <c r="BB442" s="127"/>
      <c r="BC442" s="127"/>
      <c r="BD442" s="127"/>
      <c r="BE442" s="127"/>
      <c r="BF442" s="127"/>
      <c r="BG442" s="127"/>
      <c r="BH442" s="127"/>
      <c r="BI442" s="127"/>
      <c r="BJ442" s="127"/>
      <c r="BK442" s="127"/>
      <c r="BL442" s="127"/>
      <c r="BM442" s="127"/>
      <c r="BN442" s="127"/>
      <c r="BO442" s="127"/>
      <c r="BP442" s="127"/>
      <c r="BQ442" s="127"/>
      <c r="BR442" s="127"/>
      <c r="BS442" s="127"/>
      <c r="BT442" s="127"/>
      <c r="BU442" s="127"/>
      <c r="BV442" s="127"/>
      <c r="BW442" s="127"/>
      <c r="BX442" s="127"/>
      <c r="BY442" s="127"/>
      <c r="BZ442" s="128"/>
    </row>
    <row r="443" spans="2:78" ht="12.75" customHeight="1" outlineLevel="2">
      <c r="B443" s="102" t="s">
        <v>1426</v>
      </c>
      <c r="C443" s="121" t="s">
        <v>1741</v>
      </c>
      <c r="D443" s="129" t="s">
        <v>198</v>
      </c>
      <c r="E443" s="163"/>
      <c r="F443" s="149" t="s">
        <v>178</v>
      </c>
      <c r="G443" s="129"/>
      <c r="H443" s="166" t="s">
        <v>1780</v>
      </c>
      <c r="I443" s="163"/>
      <c r="J443" s="172"/>
      <c r="K443" s="147"/>
      <c r="L443" s="147" t="s">
        <v>1244</v>
      </c>
      <c r="M443" s="125" t="s">
        <v>183</v>
      </c>
      <c r="N443" s="124">
        <f t="shared" si="63"/>
        <v>10150</v>
      </c>
      <c r="O443" s="127"/>
      <c r="P443" s="127"/>
      <c r="Q443" s="127"/>
      <c r="R443" s="127"/>
      <c r="S443" s="127"/>
      <c r="T443" s="127">
        <v>350</v>
      </c>
      <c r="U443" s="127">
        <v>550</v>
      </c>
      <c r="V443" s="127">
        <v>1400</v>
      </c>
      <c r="W443" s="127">
        <v>500</v>
      </c>
      <c r="X443" s="127">
        <v>300</v>
      </c>
      <c r="Y443" s="127"/>
      <c r="Z443" s="127">
        <v>1100</v>
      </c>
      <c r="AA443" s="127">
        <v>1400</v>
      </c>
      <c r="AB443" s="127">
        <v>700</v>
      </c>
      <c r="AC443" s="127">
        <v>400</v>
      </c>
      <c r="AD443" s="127">
        <v>200</v>
      </c>
      <c r="AE443" s="127">
        <v>350</v>
      </c>
      <c r="AF443" s="127">
        <v>300</v>
      </c>
      <c r="AG443" s="127"/>
      <c r="AH443" s="127">
        <v>300</v>
      </c>
      <c r="AI443" s="127">
        <v>300</v>
      </c>
      <c r="AJ443" s="127"/>
      <c r="AK443" s="165"/>
      <c r="AL443" s="165"/>
      <c r="AM443" s="165"/>
      <c r="AN443" s="165"/>
      <c r="AO443" s="127"/>
      <c r="AP443" s="127"/>
      <c r="AQ443" s="127"/>
      <c r="AR443" s="127"/>
      <c r="AS443" s="127"/>
      <c r="AT443" s="127"/>
      <c r="AU443" s="127"/>
      <c r="AV443" s="127"/>
      <c r="AW443" s="127"/>
      <c r="AX443" s="127">
        <v>700</v>
      </c>
      <c r="AY443" s="127"/>
      <c r="AZ443" s="127"/>
      <c r="BA443" s="127"/>
      <c r="BB443" s="127">
        <v>700</v>
      </c>
      <c r="BC443" s="127"/>
      <c r="BD443" s="127"/>
      <c r="BE443" s="127"/>
      <c r="BF443" s="127"/>
      <c r="BG443" s="127">
        <v>600</v>
      </c>
      <c r="BH443" s="127"/>
      <c r="BI443" s="127"/>
      <c r="BJ443" s="127"/>
      <c r="BK443" s="165"/>
      <c r="BL443" s="165"/>
      <c r="BM443" s="165"/>
      <c r="BN443" s="165"/>
      <c r="BO443" s="165"/>
      <c r="BP443" s="127" t="s">
        <v>1465</v>
      </c>
      <c r="BQ443" s="165"/>
      <c r="BR443" s="165"/>
      <c r="BS443" s="165"/>
      <c r="BT443" s="165"/>
      <c r="BU443" s="165"/>
      <c r="BV443" s="165"/>
      <c r="BW443" s="165"/>
      <c r="BX443" s="165"/>
      <c r="BY443" s="165"/>
      <c r="BZ443" s="165"/>
    </row>
    <row r="444" spans="2:78" s="139" customFormat="1" outlineLevel="1">
      <c r="C444" s="140" t="s">
        <v>1781</v>
      </c>
      <c r="H444" s="141"/>
      <c r="I444" s="141"/>
      <c r="J444" s="141"/>
      <c r="K444" s="141"/>
      <c r="L444" s="141"/>
      <c r="M444" s="142"/>
      <c r="N444" s="143">
        <f>SUBTOTAL(9,N434:N443)</f>
        <v>15799</v>
      </c>
      <c r="O444" s="144">
        <f>SUBTOTAL(9,O434:O443)</f>
        <v>2374</v>
      </c>
      <c r="P444" s="144">
        <f t="shared" ref="P444:BO444" si="64">SUBTOTAL(9,P434:P443)</f>
        <v>0</v>
      </c>
      <c r="Q444" s="144">
        <f t="shared" si="64"/>
        <v>0</v>
      </c>
      <c r="R444" s="144">
        <f t="shared" si="64"/>
        <v>0</v>
      </c>
      <c r="S444" s="144">
        <f t="shared" si="64"/>
        <v>0</v>
      </c>
      <c r="T444" s="144">
        <f t="shared" si="64"/>
        <v>350</v>
      </c>
      <c r="U444" s="144">
        <f t="shared" si="64"/>
        <v>550</v>
      </c>
      <c r="V444" s="144">
        <f t="shared" si="64"/>
        <v>1400</v>
      </c>
      <c r="W444" s="144">
        <f t="shared" si="64"/>
        <v>500</v>
      </c>
      <c r="X444" s="144">
        <f t="shared" si="64"/>
        <v>300</v>
      </c>
      <c r="Y444" s="144">
        <f t="shared" si="64"/>
        <v>0</v>
      </c>
      <c r="Z444" s="144">
        <f t="shared" si="64"/>
        <v>1100</v>
      </c>
      <c r="AA444" s="144">
        <f t="shared" si="64"/>
        <v>1400</v>
      </c>
      <c r="AB444" s="144">
        <f t="shared" si="64"/>
        <v>700</v>
      </c>
      <c r="AC444" s="144">
        <f t="shared" si="64"/>
        <v>400</v>
      </c>
      <c r="AD444" s="144">
        <f t="shared" si="64"/>
        <v>200</v>
      </c>
      <c r="AE444" s="144">
        <f t="shared" si="64"/>
        <v>350</v>
      </c>
      <c r="AF444" s="144">
        <f t="shared" si="64"/>
        <v>300</v>
      </c>
      <c r="AG444" s="144">
        <f t="shared" si="64"/>
        <v>0</v>
      </c>
      <c r="AH444" s="144">
        <f t="shared" si="64"/>
        <v>300</v>
      </c>
      <c r="AI444" s="144">
        <f t="shared" si="64"/>
        <v>300</v>
      </c>
      <c r="AJ444" s="144">
        <f t="shared" si="64"/>
        <v>0</v>
      </c>
      <c r="AK444" s="144">
        <f t="shared" si="64"/>
        <v>0</v>
      </c>
      <c r="AL444" s="144">
        <f t="shared" si="64"/>
        <v>0</v>
      </c>
      <c r="AM444" s="144">
        <f t="shared" si="64"/>
        <v>0</v>
      </c>
      <c r="AN444" s="144">
        <f t="shared" si="64"/>
        <v>0</v>
      </c>
      <c r="AO444" s="144">
        <f t="shared" si="64"/>
        <v>0</v>
      </c>
      <c r="AP444" s="144">
        <f t="shared" si="64"/>
        <v>0</v>
      </c>
      <c r="AQ444" s="144">
        <f t="shared" si="64"/>
        <v>0</v>
      </c>
      <c r="AR444" s="144">
        <f t="shared" si="64"/>
        <v>0</v>
      </c>
      <c r="AS444" s="144">
        <f t="shared" si="64"/>
        <v>0</v>
      </c>
      <c r="AT444" s="144">
        <f t="shared" si="64"/>
        <v>1575</v>
      </c>
      <c r="AU444" s="144">
        <f t="shared" si="64"/>
        <v>0</v>
      </c>
      <c r="AV444" s="144">
        <f t="shared" si="64"/>
        <v>0</v>
      </c>
      <c r="AW444" s="144">
        <f t="shared" si="64"/>
        <v>0</v>
      </c>
      <c r="AX444" s="144">
        <f t="shared" si="64"/>
        <v>700</v>
      </c>
      <c r="AY444" s="144">
        <f t="shared" si="64"/>
        <v>0</v>
      </c>
      <c r="AZ444" s="144">
        <f t="shared" si="64"/>
        <v>0</v>
      </c>
      <c r="BA444" s="144">
        <f t="shared" si="64"/>
        <v>0</v>
      </c>
      <c r="BB444" s="144">
        <f t="shared" si="64"/>
        <v>2400</v>
      </c>
      <c r="BC444" s="144">
        <f t="shared" si="64"/>
        <v>0</v>
      </c>
      <c r="BD444" s="144">
        <f t="shared" si="64"/>
        <v>0</v>
      </c>
      <c r="BE444" s="144">
        <f t="shared" si="64"/>
        <v>0</v>
      </c>
      <c r="BF444" s="144">
        <f t="shared" si="64"/>
        <v>0</v>
      </c>
      <c r="BG444" s="144">
        <f t="shared" si="64"/>
        <v>600</v>
      </c>
      <c r="BH444" s="144">
        <f t="shared" si="64"/>
        <v>0</v>
      </c>
      <c r="BI444" s="144">
        <f t="shared" si="64"/>
        <v>0</v>
      </c>
      <c r="BJ444" s="144">
        <f t="shared" si="64"/>
        <v>0</v>
      </c>
      <c r="BK444" s="144">
        <f t="shared" si="64"/>
        <v>0</v>
      </c>
      <c r="BL444" s="144">
        <f t="shared" si="64"/>
        <v>0</v>
      </c>
      <c r="BM444" s="144">
        <f t="shared" si="64"/>
        <v>0</v>
      </c>
      <c r="BN444" s="144">
        <f t="shared" si="64"/>
        <v>0</v>
      </c>
      <c r="BO444" s="144">
        <f t="shared" si="64"/>
        <v>0</v>
      </c>
      <c r="BP444" s="144"/>
      <c r="BQ444" s="144"/>
      <c r="BR444" s="144"/>
      <c r="BS444" s="144"/>
      <c r="BT444" s="144"/>
      <c r="BU444" s="144"/>
      <c r="BV444" s="144"/>
      <c r="BW444" s="144"/>
      <c r="BX444" s="144"/>
      <c r="BY444" s="144"/>
      <c r="BZ444" s="144">
        <f>SUBTOTAL(9,BZ434:BZ441)</f>
        <v>0</v>
      </c>
    </row>
    <row r="445" spans="2:78" s="121" customFormat="1" outlineLevel="2">
      <c r="B445" s="121" t="s">
        <v>1426</v>
      </c>
      <c r="C445" s="121" t="s">
        <v>1782</v>
      </c>
      <c r="D445" s="145" t="s">
        <v>198</v>
      </c>
      <c r="F445" s="149" t="s">
        <v>178</v>
      </c>
      <c r="H445" s="124" t="s">
        <v>1783</v>
      </c>
      <c r="I445" s="124"/>
      <c r="J445" s="124"/>
      <c r="K445" s="124" t="s">
        <v>1784</v>
      </c>
      <c r="L445" s="124" t="s">
        <v>234</v>
      </c>
      <c r="M445" s="125" t="s">
        <v>183</v>
      </c>
      <c r="N445" s="126">
        <f t="shared" ref="N445:N455" si="65">SUM(O445:BO445)</f>
        <v>40</v>
      </c>
      <c r="O445" s="127">
        <v>0</v>
      </c>
      <c r="P445" s="127"/>
      <c r="Q445" s="127"/>
      <c r="R445" s="127"/>
      <c r="S445" s="127"/>
      <c r="T445" s="127">
        <v>0</v>
      </c>
      <c r="U445" s="127"/>
      <c r="V445" s="127"/>
      <c r="W445" s="127"/>
      <c r="X445" s="127">
        <v>0</v>
      </c>
      <c r="Y445" s="127"/>
      <c r="Z445" s="127"/>
      <c r="AA445" s="127"/>
      <c r="AB445" s="127">
        <v>0</v>
      </c>
      <c r="AC445" s="127"/>
      <c r="AD445" s="127"/>
      <c r="AE445" s="127"/>
      <c r="AF445" s="127"/>
      <c r="AG445" s="127">
        <v>0</v>
      </c>
      <c r="AH445" s="127"/>
      <c r="AI445" s="127"/>
      <c r="AJ445" s="127"/>
      <c r="AK445" s="127">
        <v>0</v>
      </c>
      <c r="AL445" s="127"/>
      <c r="AM445" s="127"/>
      <c r="AN445" s="127"/>
      <c r="AO445" s="127">
        <v>0</v>
      </c>
      <c r="AP445" s="127"/>
      <c r="AQ445" s="127"/>
      <c r="AR445" s="127"/>
      <c r="AS445" s="127"/>
      <c r="AT445" s="127">
        <v>40</v>
      </c>
      <c r="AU445" s="127"/>
      <c r="AV445" s="127"/>
      <c r="AW445" s="127"/>
      <c r="AX445" s="127">
        <v>0</v>
      </c>
      <c r="AY445" s="127"/>
      <c r="AZ445" s="127"/>
      <c r="BA445" s="127"/>
      <c r="BB445" s="127">
        <v>0</v>
      </c>
      <c r="BC445" s="127"/>
      <c r="BD445" s="127"/>
      <c r="BE445" s="127"/>
      <c r="BF445" s="127"/>
      <c r="BG445" s="127">
        <v>0</v>
      </c>
      <c r="BH445" s="127"/>
      <c r="BI445" s="127"/>
      <c r="BJ445" s="127"/>
      <c r="BK445" s="127">
        <v>0</v>
      </c>
      <c r="BL445" s="127"/>
      <c r="BM445" s="127"/>
      <c r="BN445" s="127"/>
      <c r="BO445" s="127"/>
      <c r="BP445" s="127" t="s">
        <v>1785</v>
      </c>
      <c r="BQ445" s="127" t="s">
        <v>1786</v>
      </c>
      <c r="BR445" s="127" t="s">
        <v>1787</v>
      </c>
      <c r="BS445" s="127" t="s">
        <v>1788</v>
      </c>
      <c r="BT445" s="127" t="s">
        <v>303</v>
      </c>
      <c r="BU445" s="127" t="s">
        <v>189</v>
      </c>
      <c r="BV445" s="127" t="s">
        <v>188</v>
      </c>
      <c r="BW445" s="127" t="s">
        <v>191</v>
      </c>
      <c r="BX445" s="127" t="s">
        <v>903</v>
      </c>
      <c r="BY445" s="127" t="s">
        <v>1789</v>
      </c>
      <c r="BZ445" s="128" t="s">
        <v>1790</v>
      </c>
    </row>
    <row r="446" spans="2:78" s="121" customFormat="1" outlineLevel="2">
      <c r="B446" s="121" t="s">
        <v>1426</v>
      </c>
      <c r="C446" s="121" t="s">
        <v>1782</v>
      </c>
      <c r="D446" s="145" t="s">
        <v>198</v>
      </c>
      <c r="F446" s="149" t="s">
        <v>178</v>
      </c>
      <c r="H446" s="124" t="s">
        <v>1791</v>
      </c>
      <c r="I446" s="124"/>
      <c r="J446" s="124"/>
      <c r="K446" s="124" t="s">
        <v>244</v>
      </c>
      <c r="L446" s="124" t="s">
        <v>234</v>
      </c>
      <c r="M446" s="125" t="s">
        <v>183</v>
      </c>
      <c r="N446" s="126">
        <f t="shared" si="65"/>
        <v>459</v>
      </c>
      <c r="O446" s="127">
        <v>459</v>
      </c>
      <c r="P446" s="127"/>
      <c r="Q446" s="127"/>
      <c r="R446" s="127"/>
      <c r="S446" s="127"/>
      <c r="T446" s="127">
        <v>0</v>
      </c>
      <c r="U446" s="127"/>
      <c r="V446" s="127"/>
      <c r="W446" s="127"/>
      <c r="X446" s="127">
        <v>0</v>
      </c>
      <c r="Y446" s="127"/>
      <c r="Z446" s="127"/>
      <c r="AA446" s="127"/>
      <c r="AB446" s="127">
        <v>0</v>
      </c>
      <c r="AC446" s="127"/>
      <c r="AD446" s="127"/>
      <c r="AE446" s="127"/>
      <c r="AF446" s="127"/>
      <c r="AG446" s="127">
        <v>0</v>
      </c>
      <c r="AH446" s="127"/>
      <c r="AI446" s="127"/>
      <c r="AJ446" s="127"/>
      <c r="AK446" s="127">
        <v>0</v>
      </c>
      <c r="AL446" s="127"/>
      <c r="AM446" s="127"/>
      <c r="AN446" s="127"/>
      <c r="AO446" s="127">
        <v>0</v>
      </c>
      <c r="AP446" s="127"/>
      <c r="AQ446" s="127"/>
      <c r="AR446" s="127"/>
      <c r="AS446" s="127"/>
      <c r="AT446" s="127">
        <v>0</v>
      </c>
      <c r="AU446" s="127"/>
      <c r="AV446" s="127"/>
      <c r="AW446" s="127"/>
      <c r="AX446" s="127">
        <v>0</v>
      </c>
      <c r="AY446" s="127"/>
      <c r="AZ446" s="127"/>
      <c r="BA446" s="127"/>
      <c r="BB446" s="127">
        <v>0</v>
      </c>
      <c r="BC446" s="127"/>
      <c r="BD446" s="127"/>
      <c r="BE446" s="127"/>
      <c r="BF446" s="127"/>
      <c r="BG446" s="127">
        <v>0</v>
      </c>
      <c r="BH446" s="127"/>
      <c r="BI446" s="127"/>
      <c r="BJ446" s="127"/>
      <c r="BK446" s="127">
        <v>0</v>
      </c>
      <c r="BL446" s="127"/>
      <c r="BM446" s="127"/>
      <c r="BN446" s="127"/>
      <c r="BO446" s="127"/>
      <c r="BP446" s="127" t="s">
        <v>1792</v>
      </c>
      <c r="BQ446" s="127" t="s">
        <v>236</v>
      </c>
      <c r="BR446" s="127" t="s">
        <v>1793</v>
      </c>
      <c r="BS446" s="127" t="s">
        <v>1794</v>
      </c>
      <c r="BT446" s="127" t="s">
        <v>188</v>
      </c>
      <c r="BU446" s="127" t="s">
        <v>189</v>
      </c>
      <c r="BV446" s="127" t="s">
        <v>205</v>
      </c>
      <c r="BW446" s="127" t="s">
        <v>343</v>
      </c>
      <c r="BX446" s="127" t="s">
        <v>1795</v>
      </c>
      <c r="BY446" s="127" t="s">
        <v>189</v>
      </c>
      <c r="BZ446" s="128" t="s">
        <v>1796</v>
      </c>
    </row>
    <row r="447" spans="2:78" s="121" customFormat="1" outlineLevel="2">
      <c r="B447" s="107" t="s">
        <v>1426</v>
      </c>
      <c r="C447" s="107" t="s">
        <v>1782</v>
      </c>
      <c r="D447" s="145" t="s">
        <v>198</v>
      </c>
      <c r="F447" s="149" t="s">
        <v>178</v>
      </c>
      <c r="H447" s="124" t="s">
        <v>1797</v>
      </c>
      <c r="I447" s="124"/>
      <c r="J447" s="124"/>
      <c r="K447" s="124" t="s">
        <v>323</v>
      </c>
      <c r="L447" s="124" t="s">
        <v>234</v>
      </c>
      <c r="M447" s="125" t="s">
        <v>183</v>
      </c>
      <c r="N447" s="126">
        <f>SUM(O447:BO447)</f>
        <v>1150</v>
      </c>
      <c r="O447" s="127">
        <v>1150</v>
      </c>
      <c r="P447" s="127"/>
      <c r="Q447" s="127"/>
      <c r="R447" s="127"/>
      <c r="S447" s="127"/>
      <c r="T447" s="127">
        <v>0</v>
      </c>
      <c r="U447" s="127"/>
      <c r="V447" s="127"/>
      <c r="W447" s="127"/>
      <c r="X447" s="127">
        <v>0</v>
      </c>
      <c r="Y447" s="127"/>
      <c r="Z447" s="127"/>
      <c r="AA447" s="127"/>
      <c r="AB447" s="127">
        <v>0</v>
      </c>
      <c r="AC447" s="127"/>
      <c r="AD447" s="127"/>
      <c r="AE447" s="127"/>
      <c r="AF447" s="127"/>
      <c r="AG447" s="127">
        <v>0</v>
      </c>
      <c r="AH447" s="127"/>
      <c r="AI447" s="127"/>
      <c r="AJ447" s="127"/>
      <c r="AK447" s="127">
        <v>0</v>
      </c>
      <c r="AL447" s="127"/>
      <c r="AM447" s="127"/>
      <c r="AN447" s="127"/>
      <c r="AO447" s="127">
        <v>0</v>
      </c>
      <c r="AP447" s="127"/>
      <c r="AQ447" s="127"/>
      <c r="AR447" s="127"/>
      <c r="AS447" s="127"/>
      <c r="AT447" s="127">
        <v>0</v>
      </c>
      <c r="AU447" s="127"/>
      <c r="AV447" s="127"/>
      <c r="AW447" s="127"/>
      <c r="AX447" s="127">
        <v>0</v>
      </c>
      <c r="AY447" s="127"/>
      <c r="AZ447" s="127"/>
      <c r="BA447" s="127"/>
      <c r="BB447" s="127">
        <v>0</v>
      </c>
      <c r="BC447" s="127"/>
      <c r="BD447" s="127"/>
      <c r="BE447" s="127"/>
      <c r="BF447" s="127"/>
      <c r="BG447" s="127">
        <v>0</v>
      </c>
      <c r="BH447" s="127"/>
      <c r="BI447" s="127"/>
      <c r="BJ447" s="127"/>
      <c r="BK447" s="127">
        <v>0</v>
      </c>
      <c r="BL447" s="127"/>
      <c r="BM447" s="127"/>
      <c r="BN447" s="127"/>
      <c r="BO447" s="127"/>
      <c r="BP447" s="127" t="s">
        <v>1798</v>
      </c>
      <c r="BQ447" s="127" t="s">
        <v>340</v>
      </c>
      <c r="BR447" s="127" t="s">
        <v>1799</v>
      </c>
      <c r="BS447" s="127" t="s">
        <v>1800</v>
      </c>
      <c r="BT447" s="127" t="s">
        <v>188</v>
      </c>
      <c r="BU447" s="127" t="s">
        <v>189</v>
      </c>
      <c r="BV447" s="127" t="s">
        <v>205</v>
      </c>
      <c r="BW447" s="127" t="s">
        <v>191</v>
      </c>
      <c r="BX447" s="127" t="s">
        <v>1801</v>
      </c>
      <c r="BY447" s="127" t="s">
        <v>1802</v>
      </c>
      <c r="BZ447" s="128" t="s">
        <v>1803</v>
      </c>
    </row>
    <row r="448" spans="2:78" s="121" customFormat="1" outlineLevel="2">
      <c r="B448" s="107" t="s">
        <v>1426</v>
      </c>
      <c r="C448" s="107" t="s">
        <v>1782</v>
      </c>
      <c r="D448" s="145" t="s">
        <v>198</v>
      </c>
      <c r="F448" s="107" t="s">
        <v>178</v>
      </c>
      <c r="H448" s="122" t="s">
        <v>337</v>
      </c>
      <c r="I448" s="124"/>
      <c r="J448" s="124"/>
      <c r="K448" s="124" t="s">
        <v>338</v>
      </c>
      <c r="L448" s="124" t="s">
        <v>234</v>
      </c>
      <c r="M448" s="125" t="s">
        <v>183</v>
      </c>
      <c r="N448" s="126">
        <f>SUM(O448:BO448)</f>
        <v>800</v>
      </c>
      <c r="O448" s="127"/>
      <c r="P448" s="127"/>
      <c r="Q448" s="127"/>
      <c r="R448" s="127"/>
      <c r="S448" s="127"/>
      <c r="T448" s="127">
        <v>0</v>
      </c>
      <c r="U448" s="127">
        <v>800</v>
      </c>
      <c r="V448" s="127"/>
      <c r="W448" s="127"/>
      <c r="X448" s="127">
        <v>0</v>
      </c>
      <c r="Y448" s="127"/>
      <c r="Z448" s="127"/>
      <c r="AA448" s="127"/>
      <c r="AB448" s="127">
        <v>0</v>
      </c>
      <c r="AC448" s="127"/>
      <c r="AD448" s="127"/>
      <c r="AE448" s="127"/>
      <c r="AF448" s="127"/>
      <c r="AG448" s="127">
        <v>0</v>
      </c>
      <c r="AH448" s="127"/>
      <c r="AI448" s="127"/>
      <c r="AJ448" s="127"/>
      <c r="AK448" s="127">
        <v>0</v>
      </c>
      <c r="AL448" s="127"/>
      <c r="AM448" s="127"/>
      <c r="AN448" s="127"/>
      <c r="AO448" s="127">
        <v>0</v>
      </c>
      <c r="AP448" s="127"/>
      <c r="AQ448" s="127"/>
      <c r="AR448" s="127"/>
      <c r="AS448" s="127"/>
      <c r="AT448" s="127">
        <v>0</v>
      </c>
      <c r="AU448" s="127"/>
      <c r="AV448" s="127"/>
      <c r="AW448" s="127"/>
      <c r="AX448" s="127">
        <v>0</v>
      </c>
      <c r="AY448" s="127"/>
      <c r="AZ448" s="127"/>
      <c r="BA448" s="127"/>
      <c r="BB448" s="127">
        <v>0</v>
      </c>
      <c r="BC448" s="127"/>
      <c r="BD448" s="127"/>
      <c r="BE448" s="127"/>
      <c r="BF448" s="127"/>
      <c r="BG448" s="127">
        <v>0</v>
      </c>
      <c r="BH448" s="127"/>
      <c r="BI448" s="127"/>
      <c r="BJ448" s="127"/>
      <c r="BK448" s="127">
        <v>0</v>
      </c>
      <c r="BL448" s="127"/>
      <c r="BM448" s="127"/>
      <c r="BN448" s="127"/>
      <c r="BO448" s="127"/>
      <c r="BP448" s="127" t="s">
        <v>339</v>
      </c>
      <c r="BQ448" s="127" t="s">
        <v>340</v>
      </c>
      <c r="BR448" s="127" t="s">
        <v>341</v>
      </c>
      <c r="BS448" s="127" t="s">
        <v>342</v>
      </c>
      <c r="BT448" s="127" t="s">
        <v>188</v>
      </c>
      <c r="BU448" s="127" t="s">
        <v>189</v>
      </c>
      <c r="BV448" s="127" t="s">
        <v>205</v>
      </c>
      <c r="BW448" s="127" t="s">
        <v>343</v>
      </c>
      <c r="BX448" s="127" t="s">
        <v>189</v>
      </c>
      <c r="BY448" s="127" t="s">
        <v>189</v>
      </c>
      <c r="BZ448" s="131" t="s">
        <v>344</v>
      </c>
    </row>
    <row r="449" spans="2:78" s="121" customFormat="1" outlineLevel="2">
      <c r="B449" s="121" t="s">
        <v>1426</v>
      </c>
      <c r="C449" s="121" t="s">
        <v>1782</v>
      </c>
      <c r="D449" s="145" t="s">
        <v>198</v>
      </c>
      <c r="F449" s="149" t="s">
        <v>178</v>
      </c>
      <c r="H449" s="122" t="s">
        <v>1804</v>
      </c>
      <c r="I449" s="124"/>
      <c r="J449" s="124"/>
      <c r="K449" s="124" t="s">
        <v>1805</v>
      </c>
      <c r="L449" s="124" t="s">
        <v>234</v>
      </c>
      <c r="M449" s="125" t="s">
        <v>183</v>
      </c>
      <c r="N449" s="126">
        <f t="shared" si="65"/>
        <v>500</v>
      </c>
      <c r="O449" s="127">
        <v>0</v>
      </c>
      <c r="P449" s="127"/>
      <c r="Q449" s="127"/>
      <c r="R449" s="127"/>
      <c r="S449" s="127"/>
      <c r="T449" s="127"/>
      <c r="U449" s="127"/>
      <c r="V449" s="127"/>
      <c r="W449" s="127"/>
      <c r="X449" s="127">
        <v>0</v>
      </c>
      <c r="Y449" s="127"/>
      <c r="Z449" s="127"/>
      <c r="AA449" s="127"/>
      <c r="AB449" s="127">
        <v>0</v>
      </c>
      <c r="AC449" s="127"/>
      <c r="AD449" s="127"/>
      <c r="AE449" s="127"/>
      <c r="AF449" s="127"/>
      <c r="AG449" s="127">
        <v>250</v>
      </c>
      <c r="AH449" s="127"/>
      <c r="AI449" s="127"/>
      <c r="AJ449" s="127"/>
      <c r="AK449" s="127">
        <v>0</v>
      </c>
      <c r="AL449" s="127"/>
      <c r="AM449" s="127"/>
      <c r="AN449" s="127"/>
      <c r="AO449" s="127">
        <v>0</v>
      </c>
      <c r="AP449" s="127"/>
      <c r="AQ449" s="127"/>
      <c r="AR449" s="127"/>
      <c r="AS449" s="127"/>
      <c r="AT449" s="127">
        <v>0</v>
      </c>
      <c r="AU449" s="127"/>
      <c r="AV449" s="127"/>
      <c r="AW449" s="127"/>
      <c r="AX449" s="127">
        <v>250</v>
      </c>
      <c r="AY449" s="127"/>
      <c r="AZ449" s="127"/>
      <c r="BA449" s="127"/>
      <c r="BB449" s="127"/>
      <c r="BC449" s="127"/>
      <c r="BD449" s="127"/>
      <c r="BE449" s="127"/>
      <c r="BF449" s="127"/>
      <c r="BG449" s="127">
        <v>0</v>
      </c>
      <c r="BH449" s="127"/>
      <c r="BI449" s="127"/>
      <c r="BJ449" s="127"/>
      <c r="BK449" s="127">
        <v>0</v>
      </c>
      <c r="BL449" s="127"/>
      <c r="BM449" s="127"/>
      <c r="BN449" s="127"/>
      <c r="BO449" s="127"/>
      <c r="BP449" s="127" t="s">
        <v>1806</v>
      </c>
      <c r="BQ449" s="127" t="s">
        <v>236</v>
      </c>
      <c r="BR449" s="127" t="s">
        <v>1793</v>
      </c>
      <c r="BS449" s="127" t="s">
        <v>1794</v>
      </c>
      <c r="BT449" s="127" t="s">
        <v>188</v>
      </c>
      <c r="BU449" s="127" t="s">
        <v>189</v>
      </c>
      <c r="BV449" s="127" t="s">
        <v>205</v>
      </c>
      <c r="BW449" s="127" t="s">
        <v>343</v>
      </c>
      <c r="BX449" s="127" t="s">
        <v>1807</v>
      </c>
      <c r="BY449" s="127" t="s">
        <v>189</v>
      </c>
      <c r="BZ449" s="131" t="s">
        <v>1808</v>
      </c>
    </row>
    <row r="450" spans="2:78" s="121" customFormat="1" outlineLevel="2">
      <c r="B450" s="121" t="s">
        <v>1426</v>
      </c>
      <c r="C450" s="121" t="s">
        <v>1782</v>
      </c>
      <c r="D450" s="145" t="s">
        <v>198</v>
      </c>
      <c r="F450" s="149" t="s">
        <v>178</v>
      </c>
      <c r="H450" s="124" t="s">
        <v>1809</v>
      </c>
      <c r="I450" s="124"/>
      <c r="J450" s="124"/>
      <c r="K450" s="124" t="s">
        <v>1810</v>
      </c>
      <c r="L450" s="124" t="s">
        <v>234</v>
      </c>
      <c r="M450" s="125" t="s">
        <v>183</v>
      </c>
      <c r="N450" s="126">
        <f t="shared" si="65"/>
        <v>289</v>
      </c>
      <c r="O450" s="127">
        <v>0</v>
      </c>
      <c r="P450" s="127"/>
      <c r="Q450" s="127"/>
      <c r="R450" s="127"/>
      <c r="S450" s="127"/>
      <c r="T450" s="127">
        <v>0</v>
      </c>
      <c r="U450" s="127"/>
      <c r="V450" s="127"/>
      <c r="W450" s="127"/>
      <c r="X450" s="127">
        <v>0</v>
      </c>
      <c r="Y450" s="127"/>
      <c r="Z450" s="127"/>
      <c r="AA450" s="127"/>
      <c r="AB450" s="127">
        <v>289</v>
      </c>
      <c r="AC450" s="127"/>
      <c r="AD450" s="127"/>
      <c r="AE450" s="127"/>
      <c r="AF450" s="127"/>
      <c r="AG450" s="127">
        <v>0</v>
      </c>
      <c r="AH450" s="127"/>
      <c r="AI450" s="127"/>
      <c r="AJ450" s="127"/>
      <c r="AK450" s="127">
        <v>0</v>
      </c>
      <c r="AL450" s="127"/>
      <c r="AM450" s="127"/>
      <c r="AN450" s="127"/>
      <c r="AO450" s="127">
        <v>0</v>
      </c>
      <c r="AP450" s="127"/>
      <c r="AQ450" s="127"/>
      <c r="AR450" s="127"/>
      <c r="AS450" s="127"/>
      <c r="AT450" s="127">
        <v>0</v>
      </c>
      <c r="AU450" s="127"/>
      <c r="AV450" s="127"/>
      <c r="AW450" s="127"/>
      <c r="AX450" s="127">
        <v>0</v>
      </c>
      <c r="AY450" s="127"/>
      <c r="AZ450" s="127"/>
      <c r="BA450" s="127"/>
      <c r="BB450" s="127">
        <v>0</v>
      </c>
      <c r="BC450" s="127"/>
      <c r="BD450" s="127"/>
      <c r="BE450" s="127"/>
      <c r="BF450" s="127"/>
      <c r="BG450" s="127">
        <v>0</v>
      </c>
      <c r="BH450" s="127"/>
      <c r="BI450" s="127"/>
      <c r="BJ450" s="127"/>
      <c r="BK450" s="127">
        <v>0</v>
      </c>
      <c r="BL450" s="127"/>
      <c r="BM450" s="127"/>
      <c r="BN450" s="127"/>
      <c r="BO450" s="127"/>
      <c r="BP450" s="127" t="s">
        <v>1811</v>
      </c>
      <c r="BQ450" s="127" t="s">
        <v>236</v>
      </c>
      <c r="BR450" s="127" t="s">
        <v>1812</v>
      </c>
      <c r="BS450" s="127" t="s">
        <v>1813</v>
      </c>
      <c r="BT450" s="127" t="s">
        <v>188</v>
      </c>
      <c r="BU450" s="127" t="s">
        <v>189</v>
      </c>
      <c r="BV450" s="127" t="s">
        <v>205</v>
      </c>
      <c r="BW450" s="127" t="s">
        <v>343</v>
      </c>
      <c r="BX450" s="127" t="s">
        <v>1112</v>
      </c>
      <c r="BY450" s="127" t="s">
        <v>189</v>
      </c>
      <c r="BZ450" s="127" t="s">
        <v>288</v>
      </c>
    </row>
    <row r="451" spans="2:78" s="121" customFormat="1" outlineLevel="2">
      <c r="B451" s="121" t="s">
        <v>1426</v>
      </c>
      <c r="C451" s="121" t="s">
        <v>1782</v>
      </c>
      <c r="D451" s="145" t="s">
        <v>198</v>
      </c>
      <c r="F451" s="149" t="s">
        <v>178</v>
      </c>
      <c r="H451" s="122" t="s">
        <v>1814</v>
      </c>
      <c r="I451" s="124"/>
      <c r="J451" s="124"/>
      <c r="K451" s="124" t="s">
        <v>1815</v>
      </c>
      <c r="L451" s="124" t="s">
        <v>234</v>
      </c>
      <c r="M451" s="125" t="s">
        <v>183</v>
      </c>
      <c r="N451" s="126">
        <f>SUM(O451:BO451)</f>
        <v>600</v>
      </c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  <c r="AF451" s="127"/>
      <c r="AG451" s="127"/>
      <c r="AH451" s="127"/>
      <c r="AI451" s="127"/>
      <c r="AJ451" s="127"/>
      <c r="AK451" s="127"/>
      <c r="AL451" s="127"/>
      <c r="AM451" s="127"/>
      <c r="AN451" s="127"/>
      <c r="AO451" s="127"/>
      <c r="AP451" s="127"/>
      <c r="AQ451" s="127"/>
      <c r="AR451" s="127"/>
      <c r="AS451" s="127"/>
      <c r="AT451" s="127"/>
      <c r="AU451" s="127"/>
      <c r="AV451" s="127"/>
      <c r="AW451" s="127"/>
      <c r="AX451" s="127">
        <v>600</v>
      </c>
      <c r="AY451" s="127"/>
      <c r="AZ451" s="127"/>
      <c r="BA451" s="127"/>
      <c r="BB451" s="127"/>
      <c r="BC451" s="127"/>
      <c r="BD451" s="127"/>
      <c r="BE451" s="127"/>
      <c r="BF451" s="127"/>
      <c r="BG451" s="127"/>
      <c r="BH451" s="127"/>
      <c r="BI451" s="127"/>
      <c r="BJ451" s="127"/>
      <c r="BK451" s="127"/>
      <c r="BL451" s="127"/>
      <c r="BM451" s="127"/>
      <c r="BN451" s="127"/>
      <c r="BO451" s="127"/>
      <c r="BP451" s="127" t="s">
        <v>1816</v>
      </c>
      <c r="BQ451" s="127"/>
      <c r="BR451" s="127"/>
      <c r="BS451" s="127"/>
      <c r="BT451" s="127"/>
      <c r="BU451" s="127"/>
      <c r="BV451" s="127"/>
      <c r="BW451" s="127"/>
      <c r="BX451" s="127"/>
      <c r="BY451" s="127"/>
      <c r="BZ451" s="131" t="s">
        <v>1808</v>
      </c>
    </row>
    <row r="452" spans="2:78" s="121" customFormat="1" outlineLevel="2">
      <c r="B452" s="121" t="s">
        <v>1426</v>
      </c>
      <c r="C452" s="121" t="s">
        <v>1782</v>
      </c>
      <c r="D452" s="145" t="s">
        <v>198</v>
      </c>
      <c r="F452" s="149" t="s">
        <v>178</v>
      </c>
      <c r="G452" s="107" t="s">
        <v>199</v>
      </c>
      <c r="H452" s="122" t="s">
        <v>1817</v>
      </c>
      <c r="I452" s="124"/>
      <c r="J452" s="124"/>
      <c r="K452" s="124" t="s">
        <v>1818</v>
      </c>
      <c r="L452" s="124" t="s">
        <v>234</v>
      </c>
      <c r="M452" s="125" t="s">
        <v>183</v>
      </c>
      <c r="N452" s="126">
        <f>SUM(O452:BO452)</f>
        <v>150</v>
      </c>
      <c r="O452" s="130">
        <v>150</v>
      </c>
      <c r="P452" s="127"/>
      <c r="Q452" s="127"/>
      <c r="R452" s="127"/>
      <c r="S452" s="127"/>
      <c r="T452" s="127">
        <v>0</v>
      </c>
      <c r="U452" s="127"/>
      <c r="V452" s="127"/>
      <c r="W452" s="127"/>
      <c r="X452" s="127">
        <v>0</v>
      </c>
      <c r="Y452" s="127"/>
      <c r="Z452" s="127"/>
      <c r="AA452" s="127"/>
      <c r="AB452" s="127">
        <v>0</v>
      </c>
      <c r="AC452" s="127"/>
      <c r="AD452" s="127"/>
      <c r="AE452" s="127"/>
      <c r="AF452" s="127"/>
      <c r="AG452" s="127">
        <v>0</v>
      </c>
      <c r="AH452" s="127"/>
      <c r="AI452" s="127"/>
      <c r="AJ452" s="127"/>
      <c r="AK452" s="127">
        <v>0</v>
      </c>
      <c r="AL452" s="127"/>
      <c r="AM452" s="127"/>
      <c r="AN452" s="127"/>
      <c r="AO452" s="127">
        <v>0</v>
      </c>
      <c r="AP452" s="127"/>
      <c r="AQ452" s="127"/>
      <c r="AR452" s="127"/>
      <c r="AS452" s="127"/>
      <c r="AT452" s="127">
        <v>0</v>
      </c>
      <c r="AU452" s="127"/>
      <c r="AV452" s="127"/>
      <c r="AW452" s="127"/>
      <c r="AX452" s="127">
        <v>0</v>
      </c>
      <c r="AY452" s="127"/>
      <c r="AZ452" s="127"/>
      <c r="BA452" s="127"/>
      <c r="BB452" s="127">
        <v>0</v>
      </c>
      <c r="BC452" s="127"/>
      <c r="BD452" s="127"/>
      <c r="BE452" s="127"/>
      <c r="BF452" s="127"/>
      <c r="BG452" s="127">
        <v>0</v>
      </c>
      <c r="BH452" s="127"/>
      <c r="BI452" s="127"/>
      <c r="BJ452" s="127"/>
      <c r="BK452" s="127">
        <v>0</v>
      </c>
      <c r="BL452" s="127"/>
      <c r="BM452" s="127"/>
      <c r="BN452" s="127"/>
      <c r="BO452" s="127"/>
      <c r="BP452" s="127" t="s">
        <v>1819</v>
      </c>
      <c r="BQ452" s="127" t="s">
        <v>236</v>
      </c>
      <c r="BR452" s="127" t="s">
        <v>1820</v>
      </c>
      <c r="BS452" s="127" t="s">
        <v>1821</v>
      </c>
      <c r="BT452" s="127" t="s">
        <v>188</v>
      </c>
      <c r="BU452" s="127" t="s">
        <v>189</v>
      </c>
      <c r="BV452" s="127" t="s">
        <v>229</v>
      </c>
      <c r="BW452" s="127" t="s">
        <v>343</v>
      </c>
      <c r="BX452" s="127" t="s">
        <v>1822</v>
      </c>
      <c r="BY452" s="127" t="s">
        <v>189</v>
      </c>
      <c r="BZ452" s="131" t="s">
        <v>1808</v>
      </c>
    </row>
    <row r="453" spans="2:78" s="121" customFormat="1" outlineLevel="2">
      <c r="B453" s="121" t="s">
        <v>1426</v>
      </c>
      <c r="C453" s="121" t="s">
        <v>1782</v>
      </c>
      <c r="D453" s="145" t="s">
        <v>1440</v>
      </c>
      <c r="F453" s="149" t="s">
        <v>178</v>
      </c>
      <c r="G453" s="107" t="s">
        <v>199</v>
      </c>
      <c r="H453" s="122" t="s">
        <v>1817</v>
      </c>
      <c r="I453" s="124"/>
      <c r="J453" s="124"/>
      <c r="K453" s="124" t="s">
        <v>1818</v>
      </c>
      <c r="L453" s="124" t="s">
        <v>234</v>
      </c>
      <c r="M453" s="125" t="s">
        <v>183</v>
      </c>
      <c r="N453" s="126">
        <f>SUM(O453:BO453)</f>
        <v>150</v>
      </c>
      <c r="O453" s="130">
        <v>150</v>
      </c>
      <c r="P453" s="127"/>
      <c r="Q453" s="127"/>
      <c r="R453" s="127"/>
      <c r="S453" s="127"/>
      <c r="T453" s="127">
        <v>0</v>
      </c>
      <c r="U453" s="127"/>
      <c r="V453" s="127"/>
      <c r="W453" s="127"/>
      <c r="X453" s="127">
        <v>0</v>
      </c>
      <c r="Y453" s="127"/>
      <c r="Z453" s="127"/>
      <c r="AA453" s="127"/>
      <c r="AB453" s="127">
        <v>0</v>
      </c>
      <c r="AC453" s="127"/>
      <c r="AD453" s="127"/>
      <c r="AE453" s="127"/>
      <c r="AF453" s="127"/>
      <c r="AG453" s="127">
        <v>0</v>
      </c>
      <c r="AH453" s="127"/>
      <c r="AI453" s="127"/>
      <c r="AJ453" s="127"/>
      <c r="AK453" s="127">
        <v>0</v>
      </c>
      <c r="AL453" s="127"/>
      <c r="AM453" s="127"/>
      <c r="AN453" s="127"/>
      <c r="AO453" s="127">
        <v>0</v>
      </c>
      <c r="AP453" s="127"/>
      <c r="AQ453" s="127"/>
      <c r="AR453" s="127"/>
      <c r="AS453" s="127"/>
      <c r="AT453" s="127">
        <v>0</v>
      </c>
      <c r="AU453" s="127"/>
      <c r="AV453" s="127"/>
      <c r="AW453" s="127"/>
      <c r="AX453" s="127">
        <v>0</v>
      </c>
      <c r="AY453" s="127"/>
      <c r="AZ453" s="127"/>
      <c r="BA453" s="127"/>
      <c r="BB453" s="127">
        <v>0</v>
      </c>
      <c r="BC453" s="127"/>
      <c r="BD453" s="127"/>
      <c r="BE453" s="127"/>
      <c r="BF453" s="127"/>
      <c r="BG453" s="127">
        <v>0</v>
      </c>
      <c r="BH453" s="127"/>
      <c r="BI453" s="127"/>
      <c r="BJ453" s="127"/>
      <c r="BK453" s="127">
        <v>0</v>
      </c>
      <c r="BL453" s="127"/>
      <c r="BM453" s="127"/>
      <c r="BN453" s="127"/>
      <c r="BO453" s="127"/>
      <c r="BP453" s="127" t="s">
        <v>1819</v>
      </c>
      <c r="BQ453" s="127" t="s">
        <v>236</v>
      </c>
      <c r="BR453" s="127" t="s">
        <v>1820</v>
      </c>
      <c r="BS453" s="127" t="s">
        <v>1821</v>
      </c>
      <c r="BT453" s="127" t="s">
        <v>188</v>
      </c>
      <c r="BU453" s="127" t="s">
        <v>189</v>
      </c>
      <c r="BV453" s="127" t="s">
        <v>229</v>
      </c>
      <c r="BW453" s="127" t="s">
        <v>343</v>
      </c>
      <c r="BX453" s="127" t="s">
        <v>1822</v>
      </c>
      <c r="BY453" s="127" t="s">
        <v>189</v>
      </c>
      <c r="BZ453" s="131" t="s">
        <v>1808</v>
      </c>
    </row>
    <row r="454" spans="2:78" s="121" customFormat="1" outlineLevel="2">
      <c r="B454" s="121" t="s">
        <v>1426</v>
      </c>
      <c r="C454" s="121" t="s">
        <v>1782</v>
      </c>
      <c r="D454" s="107" t="s">
        <v>198</v>
      </c>
      <c r="F454" s="107" t="s">
        <v>1823</v>
      </c>
      <c r="G454" s="107" t="s">
        <v>199</v>
      </c>
      <c r="H454" s="122" t="s">
        <v>283</v>
      </c>
      <c r="I454" s="124"/>
      <c r="J454" s="124"/>
      <c r="K454" s="124" t="s">
        <v>284</v>
      </c>
      <c r="L454" s="124" t="s">
        <v>234</v>
      </c>
      <c r="M454" s="125" t="s">
        <v>183</v>
      </c>
      <c r="N454" s="126">
        <f>SUM(O454:BO454)</f>
        <v>1000</v>
      </c>
      <c r="O454" s="127"/>
      <c r="P454" s="127"/>
      <c r="Q454" s="127"/>
      <c r="R454" s="127"/>
      <c r="S454" s="127"/>
      <c r="T454" s="127">
        <v>0</v>
      </c>
      <c r="U454" s="127"/>
      <c r="V454" s="127"/>
      <c r="W454" s="127"/>
      <c r="X454" s="127">
        <v>0</v>
      </c>
      <c r="Y454" s="127"/>
      <c r="Z454" s="127"/>
      <c r="AA454" s="127"/>
      <c r="AB454" s="127"/>
      <c r="AC454" s="127"/>
      <c r="AD454" s="127"/>
      <c r="AE454" s="127"/>
      <c r="AF454" s="130">
        <v>500</v>
      </c>
      <c r="AG454" s="130">
        <v>500</v>
      </c>
      <c r="AH454" s="127"/>
      <c r="AI454" s="127"/>
      <c r="AJ454" s="127"/>
      <c r="AK454" s="127">
        <v>0</v>
      </c>
      <c r="AL454" s="127"/>
      <c r="AM454" s="127"/>
      <c r="AN454" s="127"/>
      <c r="AO454" s="127">
        <v>0</v>
      </c>
      <c r="AP454" s="127"/>
      <c r="AQ454" s="127"/>
      <c r="AR454" s="127"/>
      <c r="AS454" s="127"/>
      <c r="AT454" s="127">
        <v>0</v>
      </c>
      <c r="AU454" s="127"/>
      <c r="AV454" s="127"/>
      <c r="AW454" s="127"/>
      <c r="AX454" s="127">
        <v>0</v>
      </c>
      <c r="AY454" s="127"/>
      <c r="AZ454" s="127"/>
      <c r="BA454" s="127"/>
      <c r="BB454" s="127">
        <v>0</v>
      </c>
      <c r="BC454" s="127"/>
      <c r="BD454" s="127"/>
      <c r="BE454" s="127"/>
      <c r="BF454" s="127"/>
      <c r="BG454" s="127">
        <v>0</v>
      </c>
      <c r="BH454" s="127"/>
      <c r="BI454" s="127"/>
      <c r="BJ454" s="127"/>
      <c r="BK454" s="127">
        <v>0</v>
      </c>
      <c r="BL454" s="127"/>
      <c r="BM454" s="127"/>
      <c r="BN454" s="127"/>
      <c r="BO454" s="127"/>
      <c r="BP454" s="127" t="s">
        <v>285</v>
      </c>
      <c r="BQ454" s="127" t="s">
        <v>236</v>
      </c>
      <c r="BR454" s="127" t="s">
        <v>286</v>
      </c>
      <c r="BS454" s="127" t="s">
        <v>287</v>
      </c>
      <c r="BT454" s="127" t="s">
        <v>188</v>
      </c>
      <c r="BU454" s="127" t="s">
        <v>189</v>
      </c>
      <c r="BV454" s="127" t="s">
        <v>205</v>
      </c>
      <c r="BW454" s="127" t="s">
        <v>191</v>
      </c>
      <c r="BX454" s="127" t="s">
        <v>189</v>
      </c>
      <c r="BY454" s="127" t="s">
        <v>189</v>
      </c>
      <c r="BZ454" s="127" t="s">
        <v>288</v>
      </c>
    </row>
    <row r="455" spans="2:78" ht="12.75" customHeight="1" outlineLevel="2">
      <c r="B455" s="102" t="s">
        <v>1426</v>
      </c>
      <c r="C455" s="129" t="s">
        <v>1782</v>
      </c>
      <c r="D455" s="129" t="s">
        <v>198</v>
      </c>
      <c r="E455" s="163"/>
      <c r="F455" s="149" t="s">
        <v>178</v>
      </c>
      <c r="G455" s="129"/>
      <c r="H455" s="166" t="s">
        <v>1824</v>
      </c>
      <c r="I455" s="147"/>
      <c r="J455" s="147"/>
      <c r="K455" s="147"/>
      <c r="L455" s="147" t="s">
        <v>234</v>
      </c>
      <c r="M455" s="125" t="s">
        <v>183</v>
      </c>
      <c r="N455" s="124">
        <f t="shared" si="65"/>
        <v>6000</v>
      </c>
      <c r="O455" s="127">
        <v>800</v>
      </c>
      <c r="P455" s="127"/>
      <c r="Q455" s="127"/>
      <c r="R455" s="127"/>
      <c r="S455" s="127"/>
      <c r="T455" s="127">
        <v>800</v>
      </c>
      <c r="U455" s="127"/>
      <c r="V455" s="127"/>
      <c r="W455" s="127"/>
      <c r="X455" s="127">
        <v>800</v>
      </c>
      <c r="Y455" s="127"/>
      <c r="Z455" s="127"/>
      <c r="AA455" s="127"/>
      <c r="AB455" s="127">
        <v>800</v>
      </c>
      <c r="AC455" s="127"/>
      <c r="AD455" s="127"/>
      <c r="AE455" s="127"/>
      <c r="AF455" s="127"/>
      <c r="AG455" s="127">
        <v>800</v>
      </c>
      <c r="AH455" s="127"/>
      <c r="AI455" s="127"/>
      <c r="AJ455" s="127"/>
      <c r="AK455" s="127"/>
      <c r="AL455" s="127"/>
      <c r="AM455" s="127"/>
      <c r="AN455" s="127"/>
      <c r="AO455" s="127"/>
      <c r="AP455" s="127"/>
      <c r="AQ455" s="127"/>
      <c r="AR455" s="127"/>
      <c r="AS455" s="127"/>
      <c r="AT455" s="127"/>
      <c r="AU455" s="127"/>
      <c r="AV455" s="127"/>
      <c r="AW455" s="127"/>
      <c r="AX455" s="127">
        <v>700</v>
      </c>
      <c r="AY455" s="127"/>
      <c r="AZ455" s="127"/>
      <c r="BA455" s="127"/>
      <c r="BB455" s="127">
        <v>700</v>
      </c>
      <c r="BC455" s="127"/>
      <c r="BD455" s="127"/>
      <c r="BE455" s="127"/>
      <c r="BF455" s="127"/>
      <c r="BG455" s="127">
        <v>600</v>
      </c>
      <c r="BH455" s="127"/>
      <c r="BI455" s="127"/>
      <c r="BJ455" s="127"/>
      <c r="BK455" s="127"/>
      <c r="BL455" s="127"/>
      <c r="BM455" s="127"/>
      <c r="BN455" s="127"/>
      <c r="BO455" s="127"/>
      <c r="BP455" s="127" t="s">
        <v>1465</v>
      </c>
      <c r="BQ455" s="165"/>
      <c r="BR455" s="165"/>
      <c r="BS455" s="165"/>
      <c r="BT455" s="165"/>
      <c r="BU455" s="165"/>
      <c r="BV455" s="165"/>
      <c r="BW455" s="165"/>
      <c r="BX455" s="165"/>
      <c r="BY455" s="165"/>
      <c r="BZ455" s="165"/>
    </row>
    <row r="456" spans="2:78" s="139" customFormat="1" outlineLevel="1">
      <c r="C456" s="140" t="s">
        <v>1825</v>
      </c>
      <c r="H456" s="141"/>
      <c r="I456" s="141"/>
      <c r="J456" s="141"/>
      <c r="K456" s="141"/>
      <c r="L456" s="141"/>
      <c r="M456" s="142"/>
      <c r="N456" s="143">
        <f>SUBTOTAL(9,N445:N455)</f>
        <v>11138</v>
      </c>
      <c r="O456" s="144">
        <f>SUBTOTAL(9,O445:O455)</f>
        <v>2709</v>
      </c>
      <c r="P456" s="144">
        <f t="shared" ref="P456:BO456" si="66">SUBTOTAL(9,P445:P455)</f>
        <v>0</v>
      </c>
      <c r="Q456" s="144">
        <f t="shared" si="66"/>
        <v>0</v>
      </c>
      <c r="R456" s="144">
        <f t="shared" si="66"/>
        <v>0</v>
      </c>
      <c r="S456" s="144">
        <f t="shared" si="66"/>
        <v>0</v>
      </c>
      <c r="T456" s="144">
        <f t="shared" si="66"/>
        <v>800</v>
      </c>
      <c r="U456" s="144">
        <f t="shared" si="66"/>
        <v>800</v>
      </c>
      <c r="V456" s="144">
        <f t="shared" si="66"/>
        <v>0</v>
      </c>
      <c r="W456" s="144">
        <f t="shared" si="66"/>
        <v>0</v>
      </c>
      <c r="X456" s="144">
        <f t="shared" si="66"/>
        <v>800</v>
      </c>
      <c r="Y456" s="144">
        <f t="shared" si="66"/>
        <v>0</v>
      </c>
      <c r="Z456" s="144">
        <f t="shared" si="66"/>
        <v>0</v>
      </c>
      <c r="AA456" s="144">
        <f t="shared" si="66"/>
        <v>0</v>
      </c>
      <c r="AB456" s="144">
        <f t="shared" si="66"/>
        <v>1089</v>
      </c>
      <c r="AC456" s="144">
        <f t="shared" si="66"/>
        <v>0</v>
      </c>
      <c r="AD456" s="144">
        <f t="shared" si="66"/>
        <v>0</v>
      </c>
      <c r="AE456" s="144">
        <f t="shared" si="66"/>
        <v>0</v>
      </c>
      <c r="AF456" s="144">
        <f t="shared" si="66"/>
        <v>500</v>
      </c>
      <c r="AG456" s="144">
        <f t="shared" si="66"/>
        <v>1550</v>
      </c>
      <c r="AH456" s="144">
        <f t="shared" si="66"/>
        <v>0</v>
      </c>
      <c r="AI456" s="144">
        <f t="shared" si="66"/>
        <v>0</v>
      </c>
      <c r="AJ456" s="144">
        <f t="shared" si="66"/>
        <v>0</v>
      </c>
      <c r="AK456" s="144">
        <f t="shared" si="66"/>
        <v>0</v>
      </c>
      <c r="AL456" s="144">
        <f t="shared" si="66"/>
        <v>0</v>
      </c>
      <c r="AM456" s="144">
        <f t="shared" si="66"/>
        <v>0</v>
      </c>
      <c r="AN456" s="144">
        <f t="shared" si="66"/>
        <v>0</v>
      </c>
      <c r="AO456" s="144">
        <f t="shared" si="66"/>
        <v>0</v>
      </c>
      <c r="AP456" s="144">
        <f t="shared" si="66"/>
        <v>0</v>
      </c>
      <c r="AQ456" s="144">
        <f t="shared" si="66"/>
        <v>0</v>
      </c>
      <c r="AR456" s="144">
        <f t="shared" si="66"/>
        <v>0</v>
      </c>
      <c r="AS456" s="144">
        <f t="shared" si="66"/>
        <v>0</v>
      </c>
      <c r="AT456" s="144">
        <f t="shared" si="66"/>
        <v>40</v>
      </c>
      <c r="AU456" s="144">
        <f t="shared" si="66"/>
        <v>0</v>
      </c>
      <c r="AV456" s="144">
        <f t="shared" si="66"/>
        <v>0</v>
      </c>
      <c r="AW456" s="144">
        <f t="shared" si="66"/>
        <v>0</v>
      </c>
      <c r="AX456" s="144">
        <f t="shared" si="66"/>
        <v>1550</v>
      </c>
      <c r="AY456" s="144">
        <f t="shared" si="66"/>
        <v>0</v>
      </c>
      <c r="AZ456" s="144">
        <f t="shared" si="66"/>
        <v>0</v>
      </c>
      <c r="BA456" s="144">
        <f t="shared" si="66"/>
        <v>0</v>
      </c>
      <c r="BB456" s="144">
        <f t="shared" si="66"/>
        <v>700</v>
      </c>
      <c r="BC456" s="144">
        <f t="shared" si="66"/>
        <v>0</v>
      </c>
      <c r="BD456" s="144">
        <f t="shared" si="66"/>
        <v>0</v>
      </c>
      <c r="BE456" s="144">
        <f t="shared" si="66"/>
        <v>0</v>
      </c>
      <c r="BF456" s="144">
        <f t="shared" si="66"/>
        <v>0</v>
      </c>
      <c r="BG456" s="144">
        <f t="shared" si="66"/>
        <v>600</v>
      </c>
      <c r="BH456" s="144">
        <f t="shared" si="66"/>
        <v>0</v>
      </c>
      <c r="BI456" s="144">
        <f t="shared" si="66"/>
        <v>0</v>
      </c>
      <c r="BJ456" s="144">
        <f t="shared" si="66"/>
        <v>0</v>
      </c>
      <c r="BK456" s="144">
        <f t="shared" si="66"/>
        <v>0</v>
      </c>
      <c r="BL456" s="144">
        <f t="shared" si="66"/>
        <v>0</v>
      </c>
      <c r="BM456" s="144">
        <f t="shared" si="66"/>
        <v>0</v>
      </c>
      <c r="BN456" s="144">
        <f t="shared" si="66"/>
        <v>0</v>
      </c>
      <c r="BO456" s="144">
        <f t="shared" si="66"/>
        <v>0</v>
      </c>
      <c r="BP456" s="144"/>
      <c r="BQ456" s="144"/>
      <c r="BR456" s="144"/>
      <c r="BS456" s="144"/>
      <c r="BT456" s="144"/>
      <c r="BU456" s="144"/>
      <c r="BV456" s="144"/>
      <c r="BW456" s="144"/>
      <c r="BX456" s="144"/>
      <c r="BY456" s="144"/>
      <c r="BZ456" s="144">
        <f>SUBTOTAL(9,BZ445:BZ450)</f>
        <v>0</v>
      </c>
    </row>
    <row r="457" spans="2:78" s="121" customFormat="1" outlineLevel="2">
      <c r="B457" s="121" t="s">
        <v>1426</v>
      </c>
      <c r="C457" s="121" t="s">
        <v>1826</v>
      </c>
      <c r="D457" s="145" t="s">
        <v>198</v>
      </c>
      <c r="F457" s="149" t="s">
        <v>178</v>
      </c>
      <c r="H457" s="124" t="s">
        <v>1827</v>
      </c>
      <c r="I457" s="124"/>
      <c r="J457" s="124"/>
      <c r="K457" s="124" t="s">
        <v>1828</v>
      </c>
      <c r="L457" s="124" t="s">
        <v>1335</v>
      </c>
      <c r="M457" s="125" t="s">
        <v>183</v>
      </c>
      <c r="N457" s="126">
        <f>SUM(O457:BO457)</f>
        <v>1000</v>
      </c>
      <c r="O457" s="127">
        <v>0</v>
      </c>
      <c r="P457" s="127"/>
      <c r="Q457" s="127"/>
      <c r="R457" s="127"/>
      <c r="S457" s="127"/>
      <c r="T457" s="127">
        <v>0</v>
      </c>
      <c r="U457" s="127"/>
      <c r="V457" s="127"/>
      <c r="W457" s="127"/>
      <c r="X457" s="127">
        <v>0</v>
      </c>
      <c r="Y457" s="127"/>
      <c r="Z457" s="127"/>
      <c r="AA457" s="127"/>
      <c r="AB457" s="127">
        <v>0</v>
      </c>
      <c r="AC457" s="127"/>
      <c r="AD457" s="127"/>
      <c r="AE457" s="127"/>
      <c r="AF457" s="127"/>
      <c r="AG457" s="127">
        <v>0</v>
      </c>
      <c r="AH457" s="127"/>
      <c r="AI457" s="127"/>
      <c r="AJ457" s="127"/>
      <c r="AK457" s="127">
        <v>0</v>
      </c>
      <c r="AL457" s="127"/>
      <c r="AM457" s="127"/>
      <c r="AN457" s="127"/>
      <c r="AO457" s="127">
        <v>0</v>
      </c>
      <c r="AP457" s="127"/>
      <c r="AQ457" s="127"/>
      <c r="AR457" s="127"/>
      <c r="AS457" s="127"/>
      <c r="AT457" s="127">
        <v>0</v>
      </c>
      <c r="AU457" s="127"/>
      <c r="AV457" s="127"/>
      <c r="AW457" s="127"/>
      <c r="AX457" s="127">
        <v>0</v>
      </c>
      <c r="AY457" s="127"/>
      <c r="AZ457" s="127"/>
      <c r="BA457" s="127"/>
      <c r="BB457" s="127">
        <v>1000</v>
      </c>
      <c r="BC457" s="127"/>
      <c r="BD457" s="127"/>
      <c r="BE457" s="127"/>
      <c r="BF457" s="127"/>
      <c r="BG457" s="127">
        <v>0</v>
      </c>
      <c r="BH457" s="127"/>
      <c r="BI457" s="127"/>
      <c r="BJ457" s="127"/>
      <c r="BK457" s="127">
        <v>0</v>
      </c>
      <c r="BL457" s="127"/>
      <c r="BM457" s="127"/>
      <c r="BN457" s="127"/>
      <c r="BO457" s="127"/>
      <c r="BP457" s="127" t="s">
        <v>1829</v>
      </c>
      <c r="BQ457" s="127" t="s">
        <v>915</v>
      </c>
      <c r="BR457" s="127" t="s">
        <v>1830</v>
      </c>
      <c r="BS457" s="127" t="s">
        <v>1831</v>
      </c>
      <c r="BT457" s="127" t="s">
        <v>188</v>
      </c>
      <c r="BU457" s="127" t="s">
        <v>189</v>
      </c>
      <c r="BV457" s="127" t="s">
        <v>205</v>
      </c>
      <c r="BW457" s="127" t="s">
        <v>343</v>
      </c>
      <c r="BX457" s="127" t="s">
        <v>192</v>
      </c>
      <c r="BY457" s="127" t="s">
        <v>1235</v>
      </c>
      <c r="BZ457" s="127" t="s">
        <v>1340</v>
      </c>
    </row>
    <row r="458" spans="2:78" s="121" customFormat="1" outlineLevel="2">
      <c r="B458" s="121" t="s">
        <v>1426</v>
      </c>
      <c r="C458" s="121" t="s">
        <v>1826</v>
      </c>
      <c r="D458" s="145" t="s">
        <v>198</v>
      </c>
      <c r="F458" s="149" t="s">
        <v>178</v>
      </c>
      <c r="G458" s="107" t="s">
        <v>199</v>
      </c>
      <c r="H458" s="122" t="s">
        <v>1832</v>
      </c>
      <c r="I458" s="124"/>
      <c r="J458" s="124"/>
      <c r="K458" s="124" t="s">
        <v>1833</v>
      </c>
      <c r="L458" s="124" t="s">
        <v>1335</v>
      </c>
      <c r="M458" s="125" t="s">
        <v>183</v>
      </c>
      <c r="N458" s="126">
        <f>SUM(O458:BO458)</f>
        <v>350</v>
      </c>
      <c r="O458" s="127"/>
      <c r="P458" s="130">
        <v>350</v>
      </c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  <c r="AF458" s="127"/>
      <c r="AG458" s="127"/>
      <c r="AH458" s="127"/>
      <c r="AI458" s="127"/>
      <c r="AJ458" s="127"/>
      <c r="AK458" s="127"/>
      <c r="AL458" s="127"/>
      <c r="AM458" s="127"/>
      <c r="AN458" s="127"/>
      <c r="AO458" s="127"/>
      <c r="AP458" s="127"/>
      <c r="AQ458" s="127"/>
      <c r="AR458" s="127"/>
      <c r="AS458" s="127"/>
      <c r="AT458" s="127"/>
      <c r="AU458" s="127"/>
      <c r="AV458" s="127"/>
      <c r="AW458" s="127"/>
      <c r="AX458" s="127"/>
      <c r="AY458" s="127"/>
      <c r="AZ458" s="127"/>
      <c r="BA458" s="127"/>
      <c r="BB458" s="127"/>
      <c r="BC458" s="127"/>
      <c r="BD458" s="127"/>
      <c r="BE458" s="127"/>
      <c r="BF458" s="127"/>
      <c r="BG458" s="127"/>
      <c r="BH458" s="127"/>
      <c r="BI458" s="127"/>
      <c r="BJ458" s="127"/>
      <c r="BK458" s="127"/>
      <c r="BL458" s="127"/>
      <c r="BM458" s="127"/>
      <c r="BN458" s="127"/>
      <c r="BO458" s="127"/>
      <c r="BP458" s="127"/>
      <c r="BQ458" s="127"/>
      <c r="BR458" s="127"/>
      <c r="BS458" s="127"/>
      <c r="BT458" s="127"/>
      <c r="BU458" s="127"/>
      <c r="BV458" s="127"/>
      <c r="BW458" s="127"/>
      <c r="BX458" s="127"/>
      <c r="BY458" s="127"/>
      <c r="BZ458" s="127"/>
    </row>
    <row r="459" spans="2:78" s="121" customFormat="1" outlineLevel="2">
      <c r="B459" s="121" t="s">
        <v>1426</v>
      </c>
      <c r="C459" s="121" t="s">
        <v>1826</v>
      </c>
      <c r="D459" s="145" t="s">
        <v>1440</v>
      </c>
      <c r="F459" s="149" t="s">
        <v>178</v>
      </c>
      <c r="G459" s="107" t="s">
        <v>199</v>
      </c>
      <c r="H459" s="122" t="s">
        <v>1832</v>
      </c>
      <c r="I459" s="124"/>
      <c r="J459" s="124"/>
      <c r="K459" s="124" t="s">
        <v>1833</v>
      </c>
      <c r="L459" s="124" t="s">
        <v>1335</v>
      </c>
      <c r="M459" s="125" t="s">
        <v>183</v>
      </c>
      <c r="N459" s="126">
        <f>SUM(O459:BO459)</f>
        <v>50</v>
      </c>
      <c r="O459" s="127"/>
      <c r="P459" s="130">
        <v>50</v>
      </c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  <c r="AN459" s="127"/>
      <c r="AO459" s="127"/>
      <c r="AP459" s="127"/>
      <c r="AQ459" s="127"/>
      <c r="AR459" s="127"/>
      <c r="AS459" s="127"/>
      <c r="AT459" s="127"/>
      <c r="AU459" s="127"/>
      <c r="AV459" s="127"/>
      <c r="AW459" s="127"/>
      <c r="AX459" s="127"/>
      <c r="AY459" s="127"/>
      <c r="AZ459" s="127"/>
      <c r="BA459" s="127"/>
      <c r="BB459" s="127"/>
      <c r="BC459" s="127"/>
      <c r="BD459" s="127"/>
      <c r="BE459" s="127"/>
      <c r="BF459" s="127"/>
      <c r="BG459" s="127"/>
      <c r="BH459" s="127"/>
      <c r="BI459" s="127"/>
      <c r="BJ459" s="127"/>
      <c r="BK459" s="127"/>
      <c r="BL459" s="127"/>
      <c r="BM459" s="127"/>
      <c r="BN459" s="127"/>
      <c r="BO459" s="127"/>
      <c r="BP459" s="127"/>
      <c r="BQ459" s="127"/>
      <c r="BR459" s="127"/>
      <c r="BS459" s="127"/>
      <c r="BT459" s="127"/>
      <c r="BU459" s="127"/>
      <c r="BV459" s="127"/>
      <c r="BW459" s="127"/>
      <c r="BX459" s="127"/>
      <c r="BY459" s="127"/>
      <c r="BZ459" s="127"/>
    </row>
    <row r="460" spans="2:78" ht="12.75" customHeight="1" outlineLevel="2">
      <c r="B460" s="102" t="s">
        <v>1426</v>
      </c>
      <c r="C460" s="129" t="s">
        <v>1826</v>
      </c>
      <c r="D460" s="129" t="s">
        <v>198</v>
      </c>
      <c r="E460" s="163"/>
      <c r="F460" s="149" t="s">
        <v>178</v>
      </c>
      <c r="G460" s="129"/>
      <c r="H460" s="166" t="s">
        <v>1834</v>
      </c>
      <c r="I460" s="163"/>
      <c r="J460" s="172"/>
      <c r="K460" s="147"/>
      <c r="L460" s="147" t="s">
        <v>1335</v>
      </c>
      <c r="M460" s="125" t="s">
        <v>183</v>
      </c>
      <c r="N460" s="124">
        <f>SUM(O460:BO460)</f>
        <v>5000</v>
      </c>
      <c r="O460" s="127">
        <v>700</v>
      </c>
      <c r="P460" s="127"/>
      <c r="Q460" s="127"/>
      <c r="R460" s="127"/>
      <c r="S460" s="127"/>
      <c r="T460" s="127">
        <v>700</v>
      </c>
      <c r="U460" s="127"/>
      <c r="V460" s="127"/>
      <c r="W460" s="127"/>
      <c r="X460" s="127">
        <v>700</v>
      </c>
      <c r="Y460" s="127"/>
      <c r="Z460" s="127"/>
      <c r="AA460" s="127"/>
      <c r="AB460" s="127">
        <v>700</v>
      </c>
      <c r="AC460" s="127"/>
      <c r="AD460" s="127"/>
      <c r="AE460" s="127"/>
      <c r="AF460" s="127"/>
      <c r="AG460" s="127">
        <v>700</v>
      </c>
      <c r="AH460" s="127"/>
      <c r="AI460" s="127"/>
      <c r="AJ460" s="127"/>
      <c r="AK460" s="127"/>
      <c r="AL460" s="127"/>
      <c r="AM460" s="127"/>
      <c r="AN460" s="127"/>
      <c r="AO460" s="127"/>
      <c r="AP460" s="127"/>
      <c r="AQ460" s="127"/>
      <c r="AR460" s="127"/>
      <c r="AS460" s="127"/>
      <c r="AT460" s="127"/>
      <c r="AU460" s="127"/>
      <c r="AV460" s="127"/>
      <c r="AW460" s="127"/>
      <c r="AX460" s="127">
        <v>500</v>
      </c>
      <c r="AY460" s="127"/>
      <c r="AZ460" s="127"/>
      <c r="BA460" s="127"/>
      <c r="BB460" s="127">
        <v>500</v>
      </c>
      <c r="BC460" s="127"/>
      <c r="BD460" s="127"/>
      <c r="BE460" s="127"/>
      <c r="BF460" s="127"/>
      <c r="BG460" s="127">
        <v>500</v>
      </c>
      <c r="BH460" s="127"/>
      <c r="BI460" s="127"/>
      <c r="BJ460" s="127"/>
      <c r="BK460" s="127"/>
      <c r="BL460" s="127"/>
      <c r="BM460" s="127"/>
      <c r="BN460" s="127"/>
      <c r="BO460" s="127"/>
      <c r="BP460" s="127" t="s">
        <v>1465</v>
      </c>
      <c r="BQ460" s="165"/>
      <c r="BR460" s="165"/>
      <c r="BS460" s="165"/>
      <c r="BT460" s="165"/>
      <c r="BU460" s="165"/>
      <c r="BV460" s="165"/>
      <c r="BW460" s="165"/>
      <c r="BX460" s="165"/>
      <c r="BY460" s="165"/>
      <c r="BZ460" s="165"/>
    </row>
    <row r="461" spans="2:78" s="139" customFormat="1" outlineLevel="1">
      <c r="C461" s="140" t="s">
        <v>1835</v>
      </c>
      <c r="H461" s="141"/>
      <c r="I461" s="141"/>
      <c r="J461" s="141"/>
      <c r="K461" s="141"/>
      <c r="L461" s="141"/>
      <c r="M461" s="142"/>
      <c r="N461" s="143">
        <f t="shared" ref="N461:BO461" si="67">SUBTOTAL(9,N457:N460)</f>
        <v>6400</v>
      </c>
      <c r="O461" s="144">
        <f t="shared" si="67"/>
        <v>700</v>
      </c>
      <c r="P461" s="144">
        <f t="shared" si="67"/>
        <v>400</v>
      </c>
      <c r="Q461" s="144">
        <f t="shared" si="67"/>
        <v>0</v>
      </c>
      <c r="R461" s="144">
        <f t="shared" si="67"/>
        <v>0</v>
      </c>
      <c r="S461" s="144">
        <f t="shared" si="67"/>
        <v>0</v>
      </c>
      <c r="T461" s="144">
        <f t="shared" si="67"/>
        <v>700</v>
      </c>
      <c r="U461" s="144">
        <f t="shared" si="67"/>
        <v>0</v>
      </c>
      <c r="V461" s="144">
        <f t="shared" si="67"/>
        <v>0</v>
      </c>
      <c r="W461" s="144">
        <f t="shared" si="67"/>
        <v>0</v>
      </c>
      <c r="X461" s="144">
        <f t="shared" si="67"/>
        <v>700</v>
      </c>
      <c r="Y461" s="144">
        <f t="shared" si="67"/>
        <v>0</v>
      </c>
      <c r="Z461" s="144">
        <f t="shared" si="67"/>
        <v>0</v>
      </c>
      <c r="AA461" s="144">
        <f t="shared" si="67"/>
        <v>0</v>
      </c>
      <c r="AB461" s="144">
        <f t="shared" si="67"/>
        <v>700</v>
      </c>
      <c r="AC461" s="144">
        <f t="shared" si="67"/>
        <v>0</v>
      </c>
      <c r="AD461" s="144">
        <f t="shared" si="67"/>
        <v>0</v>
      </c>
      <c r="AE461" s="144">
        <f t="shared" si="67"/>
        <v>0</v>
      </c>
      <c r="AF461" s="144">
        <f t="shared" si="67"/>
        <v>0</v>
      </c>
      <c r="AG461" s="144">
        <f t="shared" si="67"/>
        <v>700</v>
      </c>
      <c r="AH461" s="144">
        <f t="shared" si="67"/>
        <v>0</v>
      </c>
      <c r="AI461" s="144">
        <f t="shared" si="67"/>
        <v>0</v>
      </c>
      <c r="AJ461" s="144">
        <f t="shared" si="67"/>
        <v>0</v>
      </c>
      <c r="AK461" s="144">
        <f t="shared" si="67"/>
        <v>0</v>
      </c>
      <c r="AL461" s="144">
        <f t="shared" si="67"/>
        <v>0</v>
      </c>
      <c r="AM461" s="144">
        <f t="shared" si="67"/>
        <v>0</v>
      </c>
      <c r="AN461" s="144">
        <f t="shared" si="67"/>
        <v>0</v>
      </c>
      <c r="AO461" s="144">
        <f t="shared" si="67"/>
        <v>0</v>
      </c>
      <c r="AP461" s="144">
        <f t="shared" si="67"/>
        <v>0</v>
      </c>
      <c r="AQ461" s="144">
        <f t="shared" si="67"/>
        <v>0</v>
      </c>
      <c r="AR461" s="144">
        <f t="shared" si="67"/>
        <v>0</v>
      </c>
      <c r="AS461" s="144">
        <f t="shared" si="67"/>
        <v>0</v>
      </c>
      <c r="AT461" s="144">
        <f t="shared" si="67"/>
        <v>0</v>
      </c>
      <c r="AU461" s="144">
        <f t="shared" si="67"/>
        <v>0</v>
      </c>
      <c r="AV461" s="144">
        <f t="shared" si="67"/>
        <v>0</v>
      </c>
      <c r="AW461" s="144">
        <f t="shared" si="67"/>
        <v>0</v>
      </c>
      <c r="AX461" s="144">
        <f t="shared" si="67"/>
        <v>500</v>
      </c>
      <c r="AY461" s="144">
        <f t="shared" si="67"/>
        <v>0</v>
      </c>
      <c r="AZ461" s="144">
        <f t="shared" si="67"/>
        <v>0</v>
      </c>
      <c r="BA461" s="144">
        <f t="shared" si="67"/>
        <v>0</v>
      </c>
      <c r="BB461" s="144">
        <f t="shared" si="67"/>
        <v>1500</v>
      </c>
      <c r="BC461" s="144">
        <f t="shared" si="67"/>
        <v>0</v>
      </c>
      <c r="BD461" s="144">
        <f t="shared" si="67"/>
        <v>0</v>
      </c>
      <c r="BE461" s="144">
        <f t="shared" si="67"/>
        <v>0</v>
      </c>
      <c r="BF461" s="144">
        <f t="shared" si="67"/>
        <v>0</v>
      </c>
      <c r="BG461" s="144">
        <f t="shared" si="67"/>
        <v>500</v>
      </c>
      <c r="BH461" s="144">
        <f t="shared" si="67"/>
        <v>0</v>
      </c>
      <c r="BI461" s="144">
        <f t="shared" si="67"/>
        <v>0</v>
      </c>
      <c r="BJ461" s="144">
        <f t="shared" si="67"/>
        <v>0</v>
      </c>
      <c r="BK461" s="144">
        <f t="shared" si="67"/>
        <v>0</v>
      </c>
      <c r="BL461" s="144">
        <f t="shared" si="67"/>
        <v>0</v>
      </c>
      <c r="BM461" s="144">
        <f t="shared" si="67"/>
        <v>0</v>
      </c>
      <c r="BN461" s="144">
        <f t="shared" si="67"/>
        <v>0</v>
      </c>
      <c r="BO461" s="144">
        <f t="shared" si="67"/>
        <v>0</v>
      </c>
      <c r="BP461" s="144"/>
      <c r="BQ461" s="144"/>
      <c r="BR461" s="144"/>
      <c r="BS461" s="144"/>
      <c r="BT461" s="144"/>
      <c r="BU461" s="144"/>
      <c r="BV461" s="144"/>
      <c r="BW461" s="144"/>
      <c r="BX461" s="144"/>
      <c r="BY461" s="144"/>
      <c r="BZ461" s="144">
        <f>SUBTOTAL(9,BZ449:BZ457)</f>
        <v>0</v>
      </c>
    </row>
    <row r="462" spans="2:78" s="121" customFormat="1" outlineLevel="2">
      <c r="B462" s="121" t="s">
        <v>1426</v>
      </c>
      <c r="C462" s="121" t="s">
        <v>1836</v>
      </c>
      <c r="D462" s="145" t="s">
        <v>198</v>
      </c>
      <c r="F462" s="149" t="s">
        <v>178</v>
      </c>
      <c r="H462" s="122" t="s">
        <v>1837</v>
      </c>
      <c r="I462" s="124"/>
      <c r="J462" s="124"/>
      <c r="K462" s="124" t="s">
        <v>1838</v>
      </c>
      <c r="L462" s="124" t="s">
        <v>863</v>
      </c>
      <c r="M462" s="125" t="s">
        <v>183</v>
      </c>
      <c r="N462" s="126">
        <f t="shared" ref="N462:N467" si="68">SUM(O462:BO462)</f>
        <v>400</v>
      </c>
      <c r="O462" s="127">
        <v>0</v>
      </c>
      <c r="P462" s="127"/>
      <c r="Q462" s="127"/>
      <c r="R462" s="127"/>
      <c r="S462" s="127"/>
      <c r="T462" s="127">
        <v>0</v>
      </c>
      <c r="U462" s="127"/>
      <c r="V462" s="127"/>
      <c r="W462" s="127"/>
      <c r="X462" s="127">
        <v>0</v>
      </c>
      <c r="Y462" s="127"/>
      <c r="Z462" s="127"/>
      <c r="AA462" s="127"/>
      <c r="AB462" s="127">
        <v>0</v>
      </c>
      <c r="AC462" s="127"/>
      <c r="AD462" s="127"/>
      <c r="AE462" s="127"/>
      <c r="AF462" s="127">
        <v>400</v>
      </c>
      <c r="AG462" s="127"/>
      <c r="AH462" s="127"/>
      <c r="AI462" s="127"/>
      <c r="AJ462" s="127"/>
      <c r="AK462" s="127">
        <v>0</v>
      </c>
      <c r="AL462" s="127"/>
      <c r="AM462" s="127"/>
      <c r="AN462" s="127"/>
      <c r="AO462" s="127">
        <v>0</v>
      </c>
      <c r="AP462" s="127"/>
      <c r="AQ462" s="127"/>
      <c r="AR462" s="127"/>
      <c r="AS462" s="127"/>
      <c r="AT462" s="127">
        <v>0</v>
      </c>
      <c r="AU462" s="127"/>
      <c r="AV462" s="127"/>
      <c r="AW462" s="127"/>
      <c r="AX462" s="127">
        <v>0</v>
      </c>
      <c r="AY462" s="127"/>
      <c r="AZ462" s="127"/>
      <c r="BA462" s="127"/>
      <c r="BB462" s="127">
        <v>0</v>
      </c>
      <c r="BC462" s="127"/>
      <c r="BD462" s="127"/>
      <c r="BE462" s="127"/>
      <c r="BF462" s="127"/>
      <c r="BG462" s="127">
        <v>0</v>
      </c>
      <c r="BH462" s="127"/>
      <c r="BI462" s="127"/>
      <c r="BJ462" s="127"/>
      <c r="BK462" s="127">
        <v>0</v>
      </c>
      <c r="BL462" s="127"/>
      <c r="BM462" s="127"/>
      <c r="BN462" s="127"/>
      <c r="BO462" s="127"/>
      <c r="BP462" s="127" t="s">
        <v>1839</v>
      </c>
      <c r="BQ462" s="127" t="s">
        <v>1840</v>
      </c>
      <c r="BR462" s="127" t="s">
        <v>1841</v>
      </c>
      <c r="BS462" s="127" t="s">
        <v>1842</v>
      </c>
      <c r="BT462" s="127" t="s">
        <v>303</v>
      </c>
      <c r="BU462" s="127" t="s">
        <v>189</v>
      </c>
      <c r="BV462" s="127" t="s">
        <v>304</v>
      </c>
      <c r="BW462" s="127" t="s">
        <v>191</v>
      </c>
      <c r="BX462" s="127" t="s">
        <v>1661</v>
      </c>
      <c r="BY462" s="127" t="s">
        <v>902</v>
      </c>
      <c r="BZ462" s="131" t="s">
        <v>930</v>
      </c>
    </row>
    <row r="463" spans="2:78" s="121" customFormat="1" outlineLevel="2">
      <c r="B463" s="121" t="s">
        <v>1426</v>
      </c>
      <c r="C463" s="121" t="s">
        <v>1836</v>
      </c>
      <c r="D463" s="145" t="s">
        <v>198</v>
      </c>
      <c r="F463" s="149" t="s">
        <v>178</v>
      </c>
      <c r="H463" s="122" t="s">
        <v>1048</v>
      </c>
      <c r="I463" s="124" t="s">
        <v>436</v>
      </c>
      <c r="J463" s="124"/>
      <c r="K463" s="124" t="s">
        <v>1049</v>
      </c>
      <c r="L463" s="124" t="s">
        <v>863</v>
      </c>
      <c r="M463" s="125" t="s">
        <v>183</v>
      </c>
      <c r="N463" s="126">
        <f t="shared" si="68"/>
        <v>300</v>
      </c>
      <c r="O463" s="127">
        <v>0</v>
      </c>
      <c r="P463" s="127"/>
      <c r="Q463" s="127"/>
      <c r="R463" s="127"/>
      <c r="S463" s="127"/>
      <c r="T463" s="127">
        <v>0</v>
      </c>
      <c r="U463" s="127"/>
      <c r="V463" s="127"/>
      <c r="W463" s="127"/>
      <c r="X463" s="127">
        <v>0</v>
      </c>
      <c r="Y463" s="127"/>
      <c r="Z463" s="127"/>
      <c r="AA463" s="127"/>
      <c r="AB463" s="127">
        <v>0</v>
      </c>
      <c r="AC463" s="127"/>
      <c r="AD463" s="127"/>
      <c r="AE463" s="127"/>
      <c r="AF463" s="127"/>
      <c r="AG463" s="127">
        <v>0</v>
      </c>
      <c r="AH463" s="127"/>
      <c r="AI463" s="127"/>
      <c r="AJ463" s="127"/>
      <c r="AK463" s="127">
        <v>0</v>
      </c>
      <c r="AL463" s="127"/>
      <c r="AM463" s="127"/>
      <c r="AN463" s="127"/>
      <c r="AO463" s="127"/>
      <c r="AP463" s="127"/>
      <c r="AQ463" s="127"/>
      <c r="AR463" s="127"/>
      <c r="AS463" s="127"/>
      <c r="AT463" s="127">
        <v>0</v>
      </c>
      <c r="AU463" s="127"/>
      <c r="AV463" s="127"/>
      <c r="AW463" s="127"/>
      <c r="AX463" s="127"/>
      <c r="AY463" s="127"/>
      <c r="AZ463" s="127"/>
      <c r="BA463" s="127"/>
      <c r="BB463" s="127"/>
      <c r="BC463" s="127"/>
      <c r="BD463" s="127"/>
      <c r="BE463" s="127"/>
      <c r="BF463" s="127"/>
      <c r="BG463" s="127"/>
      <c r="BH463" s="127"/>
      <c r="BI463" s="127"/>
      <c r="BJ463" s="127"/>
      <c r="BK463" s="127">
        <v>300</v>
      </c>
      <c r="BL463" s="127"/>
      <c r="BM463" s="127"/>
      <c r="BN463" s="127"/>
      <c r="BO463" s="127"/>
      <c r="BP463" s="127" t="s">
        <v>1050</v>
      </c>
      <c r="BQ463" s="127" t="s">
        <v>1051</v>
      </c>
      <c r="BR463" s="127" t="s">
        <v>1052</v>
      </c>
      <c r="BS463" s="127" t="s">
        <v>1053</v>
      </c>
      <c r="BT463" s="127" t="s">
        <v>188</v>
      </c>
      <c r="BU463" s="127" t="s">
        <v>1012</v>
      </c>
      <c r="BV463" s="127" t="s">
        <v>205</v>
      </c>
      <c r="BW463" s="127" t="s">
        <v>191</v>
      </c>
      <c r="BX463" s="127" t="s">
        <v>320</v>
      </c>
      <c r="BY463" s="127" t="s">
        <v>1054</v>
      </c>
      <c r="BZ463" s="131" t="s">
        <v>930</v>
      </c>
    </row>
    <row r="464" spans="2:78" s="121" customFormat="1" outlineLevel="2">
      <c r="B464" s="121" t="s">
        <v>1426</v>
      </c>
      <c r="C464" s="121" t="s">
        <v>1836</v>
      </c>
      <c r="D464" s="145" t="s">
        <v>198</v>
      </c>
      <c r="F464" s="149" t="s">
        <v>178</v>
      </c>
      <c r="H464" s="122" t="s">
        <v>1037</v>
      </c>
      <c r="I464" s="124"/>
      <c r="J464" s="124"/>
      <c r="K464" s="124" t="s">
        <v>1038</v>
      </c>
      <c r="L464" s="124" t="s">
        <v>863</v>
      </c>
      <c r="M464" s="125" t="s">
        <v>183</v>
      </c>
      <c r="N464" s="126">
        <f t="shared" si="68"/>
        <v>750</v>
      </c>
      <c r="O464" s="127"/>
      <c r="P464" s="127"/>
      <c r="Q464" s="127"/>
      <c r="R464" s="127"/>
      <c r="S464" s="127"/>
      <c r="T464" s="127">
        <v>0</v>
      </c>
      <c r="U464" s="127"/>
      <c r="V464" s="127"/>
      <c r="W464" s="127"/>
      <c r="X464" s="127">
        <v>0</v>
      </c>
      <c r="Y464" s="127"/>
      <c r="Z464" s="127"/>
      <c r="AA464" s="127"/>
      <c r="AB464" s="127">
        <v>0</v>
      </c>
      <c r="AC464" s="127"/>
      <c r="AD464" s="127"/>
      <c r="AE464" s="127"/>
      <c r="AF464" s="127"/>
      <c r="AG464" s="127">
        <v>0</v>
      </c>
      <c r="AH464" s="127"/>
      <c r="AI464" s="127"/>
      <c r="AJ464" s="127"/>
      <c r="AK464" s="127">
        <v>0</v>
      </c>
      <c r="AL464" s="127"/>
      <c r="AM464" s="127"/>
      <c r="AN464" s="127"/>
      <c r="AO464" s="127">
        <v>0</v>
      </c>
      <c r="AP464" s="127"/>
      <c r="AQ464" s="127"/>
      <c r="AR464" s="127"/>
      <c r="AS464" s="127"/>
      <c r="AT464" s="127">
        <v>0</v>
      </c>
      <c r="AU464" s="127"/>
      <c r="AV464" s="127"/>
      <c r="AW464" s="127"/>
      <c r="AX464" s="127">
        <v>0</v>
      </c>
      <c r="AY464" s="127"/>
      <c r="AZ464" s="127"/>
      <c r="BA464" s="127"/>
      <c r="BB464" s="127"/>
      <c r="BC464" s="127"/>
      <c r="BD464" s="127">
        <v>750</v>
      </c>
      <c r="BE464" s="127"/>
      <c r="BF464" s="127"/>
      <c r="BG464" s="127">
        <v>0</v>
      </c>
      <c r="BH464" s="127"/>
      <c r="BI464" s="127"/>
      <c r="BJ464" s="127"/>
      <c r="BK464" s="127">
        <v>0</v>
      </c>
      <c r="BL464" s="127"/>
      <c r="BM464" s="127"/>
      <c r="BN464" s="127"/>
      <c r="BO464" s="127"/>
      <c r="BP464" s="127" t="s">
        <v>1039</v>
      </c>
      <c r="BQ464" s="127" t="s">
        <v>300</v>
      </c>
      <c r="BR464" s="127" t="s">
        <v>1040</v>
      </c>
      <c r="BS464" s="127" t="s">
        <v>1041</v>
      </c>
      <c r="BT464" s="127" t="s">
        <v>188</v>
      </c>
      <c r="BU464" s="127" t="s">
        <v>189</v>
      </c>
      <c r="BV464" s="127" t="s">
        <v>229</v>
      </c>
      <c r="BW464" s="127" t="s">
        <v>343</v>
      </c>
      <c r="BX464" s="127" t="s">
        <v>189</v>
      </c>
      <c r="BY464" s="127" t="s">
        <v>189</v>
      </c>
      <c r="BZ464" s="131" t="s">
        <v>930</v>
      </c>
    </row>
    <row r="465" spans="2:78" s="121" customFormat="1" outlineLevel="2">
      <c r="B465" s="107" t="s">
        <v>1426</v>
      </c>
      <c r="C465" s="107" t="s">
        <v>1836</v>
      </c>
      <c r="D465" s="145" t="s">
        <v>198</v>
      </c>
      <c r="F465" s="107" t="s">
        <v>178</v>
      </c>
      <c r="H465" s="122" t="s">
        <v>1843</v>
      </c>
      <c r="I465" s="124"/>
      <c r="J465" s="124"/>
      <c r="K465" s="124" t="s">
        <v>1844</v>
      </c>
      <c r="L465" s="124" t="s">
        <v>863</v>
      </c>
      <c r="M465" s="125" t="s">
        <v>183</v>
      </c>
      <c r="N465" s="126">
        <f t="shared" si="68"/>
        <v>1125</v>
      </c>
      <c r="O465" s="127">
        <v>0</v>
      </c>
      <c r="P465" s="127"/>
      <c r="Q465" s="127"/>
      <c r="R465" s="127"/>
      <c r="S465" s="127"/>
      <c r="T465" s="127">
        <v>0</v>
      </c>
      <c r="U465" s="127"/>
      <c r="V465" s="127"/>
      <c r="W465" s="127"/>
      <c r="X465" s="127">
        <v>0</v>
      </c>
      <c r="Y465" s="127"/>
      <c r="Z465" s="127"/>
      <c r="AA465" s="127"/>
      <c r="AB465" s="127">
        <v>0</v>
      </c>
      <c r="AC465" s="127"/>
      <c r="AD465" s="127"/>
      <c r="AE465" s="127"/>
      <c r="AF465" s="127"/>
      <c r="AG465" s="127">
        <v>0</v>
      </c>
      <c r="AH465" s="127"/>
      <c r="AI465" s="127"/>
      <c r="AJ465" s="127"/>
      <c r="AK465" s="127">
        <v>1125</v>
      </c>
      <c r="AL465" s="127"/>
      <c r="AM465" s="127"/>
      <c r="AN465" s="127"/>
      <c r="AO465" s="127">
        <v>0</v>
      </c>
      <c r="AP465" s="127"/>
      <c r="AQ465" s="127"/>
      <c r="AR465" s="127"/>
      <c r="AS465" s="127"/>
      <c r="AT465" s="127">
        <v>0</v>
      </c>
      <c r="AU465" s="127"/>
      <c r="AV465" s="127"/>
      <c r="AW465" s="127"/>
      <c r="AX465" s="127">
        <v>0</v>
      </c>
      <c r="AY465" s="127"/>
      <c r="AZ465" s="127"/>
      <c r="BA465" s="127"/>
      <c r="BB465" s="127">
        <v>0</v>
      </c>
      <c r="BC465" s="127"/>
      <c r="BD465" s="127"/>
      <c r="BE465" s="127"/>
      <c r="BF465" s="127"/>
      <c r="BG465" s="127">
        <v>0</v>
      </c>
      <c r="BH465" s="127"/>
      <c r="BI465" s="127"/>
      <c r="BJ465" s="127"/>
      <c r="BK465" s="127">
        <v>0</v>
      </c>
      <c r="BL465" s="127"/>
      <c r="BM465" s="127"/>
      <c r="BN465" s="127"/>
      <c r="BO465" s="127"/>
      <c r="BP465" s="127" t="s">
        <v>1845</v>
      </c>
      <c r="BQ465" s="127" t="s">
        <v>1102</v>
      </c>
      <c r="BR465" s="127" t="s">
        <v>1846</v>
      </c>
      <c r="BS465" s="127" t="s">
        <v>1847</v>
      </c>
      <c r="BT465" s="127" t="s">
        <v>188</v>
      </c>
      <c r="BU465" s="127" t="s">
        <v>189</v>
      </c>
      <c r="BV465" s="127" t="s">
        <v>205</v>
      </c>
      <c r="BW465" s="127" t="s">
        <v>191</v>
      </c>
      <c r="BX465" s="127" t="s">
        <v>1848</v>
      </c>
      <c r="BY465" s="127" t="s">
        <v>189</v>
      </c>
      <c r="BZ465" s="131" t="s">
        <v>930</v>
      </c>
    </row>
    <row r="466" spans="2:78" s="121" customFormat="1" outlineLevel="2">
      <c r="B466" s="121" t="s">
        <v>1426</v>
      </c>
      <c r="C466" s="121" t="s">
        <v>1836</v>
      </c>
      <c r="D466" s="145" t="s">
        <v>198</v>
      </c>
      <c r="F466" s="149" t="s">
        <v>178</v>
      </c>
      <c r="H466" s="124" t="s">
        <v>1849</v>
      </c>
      <c r="I466" s="124"/>
      <c r="J466" s="124"/>
      <c r="K466" s="124" t="s">
        <v>1850</v>
      </c>
      <c r="L466" s="124" t="s">
        <v>863</v>
      </c>
      <c r="M466" s="125" t="s">
        <v>183</v>
      </c>
      <c r="N466" s="126">
        <f t="shared" si="68"/>
        <v>630</v>
      </c>
      <c r="O466" s="127">
        <v>630</v>
      </c>
      <c r="P466" s="127"/>
      <c r="Q466" s="127"/>
      <c r="R466" s="127"/>
      <c r="S466" s="127"/>
      <c r="T466" s="127">
        <v>0</v>
      </c>
      <c r="U466" s="127"/>
      <c r="V466" s="127"/>
      <c r="W466" s="127"/>
      <c r="X466" s="127">
        <v>0</v>
      </c>
      <c r="Y466" s="127"/>
      <c r="Z466" s="127"/>
      <c r="AA466" s="127"/>
      <c r="AB466" s="127">
        <v>0</v>
      </c>
      <c r="AC466" s="127"/>
      <c r="AD466" s="127"/>
      <c r="AE466" s="127"/>
      <c r="AF466" s="127"/>
      <c r="AG466" s="127">
        <v>0</v>
      </c>
      <c r="AH466" s="127"/>
      <c r="AI466" s="127"/>
      <c r="AJ466" s="127"/>
      <c r="AK466" s="127">
        <v>0</v>
      </c>
      <c r="AL466" s="127"/>
      <c r="AM466" s="127"/>
      <c r="AN466" s="127"/>
      <c r="AO466" s="127">
        <v>0</v>
      </c>
      <c r="AP466" s="127"/>
      <c r="AQ466" s="127"/>
      <c r="AR466" s="127"/>
      <c r="AS466" s="127"/>
      <c r="AT466" s="127">
        <v>0</v>
      </c>
      <c r="AU466" s="127"/>
      <c r="AV466" s="127"/>
      <c r="AW466" s="127"/>
      <c r="AX466" s="127">
        <v>0</v>
      </c>
      <c r="AY466" s="127"/>
      <c r="AZ466" s="127"/>
      <c r="BA466" s="127"/>
      <c r="BB466" s="127">
        <v>0</v>
      </c>
      <c r="BC466" s="127"/>
      <c r="BD466" s="127"/>
      <c r="BE466" s="127"/>
      <c r="BF466" s="127"/>
      <c r="BG466" s="127">
        <v>0</v>
      </c>
      <c r="BH466" s="127"/>
      <c r="BI466" s="127"/>
      <c r="BJ466" s="127"/>
      <c r="BK466" s="127">
        <v>0</v>
      </c>
      <c r="BL466" s="127"/>
      <c r="BM466" s="127"/>
      <c r="BN466" s="127"/>
      <c r="BO466" s="127"/>
      <c r="BP466" s="127" t="s">
        <v>1851</v>
      </c>
      <c r="BQ466" s="127" t="s">
        <v>236</v>
      </c>
      <c r="BR466" s="127" t="s">
        <v>1852</v>
      </c>
      <c r="BS466" s="127" t="s">
        <v>1853</v>
      </c>
      <c r="BT466" s="127" t="s">
        <v>188</v>
      </c>
      <c r="BU466" s="127" t="s">
        <v>1012</v>
      </c>
      <c r="BV466" s="127" t="s">
        <v>205</v>
      </c>
      <c r="BW466" s="127" t="s">
        <v>343</v>
      </c>
      <c r="BX466" s="127" t="s">
        <v>305</v>
      </c>
      <c r="BY466" s="127" t="s">
        <v>378</v>
      </c>
      <c r="BZ466" s="127" t="s">
        <v>879</v>
      </c>
    </row>
    <row r="467" spans="2:78" s="121" customFormat="1" ht="12.75" customHeight="1" outlineLevel="2">
      <c r="B467" s="102" t="s">
        <v>1426</v>
      </c>
      <c r="C467" s="129" t="s">
        <v>1836</v>
      </c>
      <c r="D467" s="129" t="s">
        <v>198</v>
      </c>
      <c r="E467" s="163"/>
      <c r="F467" s="149" t="s">
        <v>178</v>
      </c>
      <c r="G467" s="129"/>
      <c r="H467" s="166" t="s">
        <v>1854</v>
      </c>
      <c r="I467" s="163"/>
      <c r="J467" s="163"/>
      <c r="K467" s="147"/>
      <c r="L467" s="147" t="s">
        <v>863</v>
      </c>
      <c r="M467" s="125" t="s">
        <v>183</v>
      </c>
      <c r="N467" s="124">
        <f t="shared" si="68"/>
        <v>15000</v>
      </c>
      <c r="O467" s="127">
        <v>2000</v>
      </c>
      <c r="P467" s="127"/>
      <c r="Q467" s="127"/>
      <c r="R467" s="127"/>
      <c r="S467" s="127"/>
      <c r="T467" s="127">
        <v>2000</v>
      </c>
      <c r="U467" s="127"/>
      <c r="V467" s="127"/>
      <c r="W467" s="127"/>
      <c r="X467" s="127">
        <v>2000</v>
      </c>
      <c r="Y467" s="127"/>
      <c r="Z467" s="127"/>
      <c r="AA467" s="127"/>
      <c r="AB467" s="127">
        <v>2000</v>
      </c>
      <c r="AC467" s="127"/>
      <c r="AD467" s="127"/>
      <c r="AE467" s="127"/>
      <c r="AF467" s="127"/>
      <c r="AG467" s="127">
        <v>2000</v>
      </c>
      <c r="AH467" s="127"/>
      <c r="AI467" s="127"/>
      <c r="AJ467" s="127"/>
      <c r="AK467" s="127"/>
      <c r="AL467" s="127"/>
      <c r="AM467" s="127"/>
      <c r="AN467" s="127"/>
      <c r="AO467" s="127"/>
      <c r="AP467" s="127"/>
      <c r="AQ467" s="127"/>
      <c r="AR467" s="127"/>
      <c r="AS467" s="127"/>
      <c r="AT467" s="127"/>
      <c r="AU467" s="127"/>
      <c r="AV467" s="127"/>
      <c r="AW467" s="127"/>
      <c r="AX467" s="127">
        <v>1700</v>
      </c>
      <c r="AY467" s="127"/>
      <c r="AZ467" s="127"/>
      <c r="BA467" s="127"/>
      <c r="BB467" s="127">
        <v>1700</v>
      </c>
      <c r="BC467" s="127"/>
      <c r="BD467" s="127"/>
      <c r="BE467" s="127"/>
      <c r="BF467" s="127"/>
      <c r="BG467" s="127">
        <v>1600</v>
      </c>
      <c r="BH467" s="127"/>
      <c r="BI467" s="127"/>
      <c r="BJ467" s="127"/>
      <c r="BK467" s="127"/>
      <c r="BL467" s="127"/>
      <c r="BM467" s="127"/>
      <c r="BN467" s="127"/>
      <c r="BO467" s="127"/>
      <c r="BP467" s="127" t="s">
        <v>1465</v>
      </c>
      <c r="BQ467" s="157"/>
      <c r="BR467" s="157"/>
      <c r="BS467" s="157"/>
      <c r="BT467" s="157"/>
      <c r="BU467" s="157"/>
      <c r="BV467" s="157"/>
      <c r="BW467" s="157"/>
      <c r="BX467" s="157"/>
      <c r="BY467" s="157"/>
      <c r="BZ467" s="157"/>
    </row>
    <row r="468" spans="2:78" s="139" customFormat="1" outlineLevel="1">
      <c r="C468" s="140" t="s">
        <v>1855</v>
      </c>
      <c r="H468" s="141"/>
      <c r="I468" s="141"/>
      <c r="J468" s="141"/>
      <c r="K468" s="141"/>
      <c r="L468" s="141"/>
      <c r="M468" s="142"/>
      <c r="N468" s="143">
        <f t="shared" ref="N468:BO468" si="69">SUBTOTAL(9,N462:N467)</f>
        <v>18205</v>
      </c>
      <c r="O468" s="144">
        <f t="shared" si="69"/>
        <v>2630</v>
      </c>
      <c r="P468" s="144">
        <f t="shared" si="69"/>
        <v>0</v>
      </c>
      <c r="Q468" s="144">
        <f t="shared" si="69"/>
        <v>0</v>
      </c>
      <c r="R468" s="144">
        <f t="shared" si="69"/>
        <v>0</v>
      </c>
      <c r="S468" s="144">
        <f t="shared" si="69"/>
        <v>0</v>
      </c>
      <c r="T468" s="144">
        <f t="shared" si="69"/>
        <v>2000</v>
      </c>
      <c r="U468" s="144">
        <f t="shared" si="69"/>
        <v>0</v>
      </c>
      <c r="V468" s="144">
        <f t="shared" si="69"/>
        <v>0</v>
      </c>
      <c r="W468" s="144">
        <f t="shared" si="69"/>
        <v>0</v>
      </c>
      <c r="X468" s="144">
        <f t="shared" si="69"/>
        <v>2000</v>
      </c>
      <c r="Y468" s="144">
        <f t="shared" si="69"/>
        <v>0</v>
      </c>
      <c r="Z468" s="144">
        <f t="shared" si="69"/>
        <v>0</v>
      </c>
      <c r="AA468" s="144">
        <f t="shared" si="69"/>
        <v>0</v>
      </c>
      <c r="AB468" s="144">
        <f t="shared" si="69"/>
        <v>2000</v>
      </c>
      <c r="AC468" s="144">
        <f t="shared" si="69"/>
        <v>0</v>
      </c>
      <c r="AD468" s="144">
        <f t="shared" si="69"/>
        <v>0</v>
      </c>
      <c r="AE468" s="144">
        <f t="shared" si="69"/>
        <v>0</v>
      </c>
      <c r="AF468" s="144">
        <f t="shared" si="69"/>
        <v>400</v>
      </c>
      <c r="AG468" s="144">
        <f t="shared" si="69"/>
        <v>2000</v>
      </c>
      <c r="AH468" s="144">
        <f t="shared" si="69"/>
        <v>0</v>
      </c>
      <c r="AI468" s="144">
        <f t="shared" si="69"/>
        <v>0</v>
      </c>
      <c r="AJ468" s="144">
        <f t="shared" si="69"/>
        <v>0</v>
      </c>
      <c r="AK468" s="144">
        <f t="shared" si="69"/>
        <v>1125</v>
      </c>
      <c r="AL468" s="144">
        <f t="shared" si="69"/>
        <v>0</v>
      </c>
      <c r="AM468" s="144">
        <f t="shared" si="69"/>
        <v>0</v>
      </c>
      <c r="AN468" s="144">
        <f t="shared" si="69"/>
        <v>0</v>
      </c>
      <c r="AO468" s="144">
        <f t="shared" si="69"/>
        <v>0</v>
      </c>
      <c r="AP468" s="144">
        <f t="shared" si="69"/>
        <v>0</v>
      </c>
      <c r="AQ468" s="144">
        <f t="shared" si="69"/>
        <v>0</v>
      </c>
      <c r="AR468" s="144">
        <f t="shared" si="69"/>
        <v>0</v>
      </c>
      <c r="AS468" s="144">
        <f t="shared" si="69"/>
        <v>0</v>
      </c>
      <c r="AT468" s="144">
        <f t="shared" si="69"/>
        <v>0</v>
      </c>
      <c r="AU468" s="144">
        <f t="shared" si="69"/>
        <v>0</v>
      </c>
      <c r="AV468" s="144">
        <f t="shared" si="69"/>
        <v>0</v>
      </c>
      <c r="AW468" s="144">
        <f t="shared" si="69"/>
        <v>0</v>
      </c>
      <c r="AX468" s="144">
        <f t="shared" si="69"/>
        <v>1700</v>
      </c>
      <c r="AY468" s="144">
        <f t="shared" si="69"/>
        <v>0</v>
      </c>
      <c r="AZ468" s="144">
        <f t="shared" si="69"/>
        <v>0</v>
      </c>
      <c r="BA468" s="144">
        <f t="shared" si="69"/>
        <v>0</v>
      </c>
      <c r="BB468" s="144">
        <f t="shared" si="69"/>
        <v>1700</v>
      </c>
      <c r="BC468" s="144">
        <f t="shared" si="69"/>
        <v>0</v>
      </c>
      <c r="BD468" s="144">
        <f t="shared" si="69"/>
        <v>750</v>
      </c>
      <c r="BE468" s="144">
        <f t="shared" si="69"/>
        <v>0</v>
      </c>
      <c r="BF468" s="144">
        <f t="shared" si="69"/>
        <v>0</v>
      </c>
      <c r="BG468" s="144">
        <f t="shared" si="69"/>
        <v>1600</v>
      </c>
      <c r="BH468" s="144">
        <f t="shared" si="69"/>
        <v>0</v>
      </c>
      <c r="BI468" s="144">
        <f t="shared" si="69"/>
        <v>0</v>
      </c>
      <c r="BJ468" s="144">
        <f t="shared" si="69"/>
        <v>0</v>
      </c>
      <c r="BK468" s="144">
        <f t="shared" si="69"/>
        <v>300</v>
      </c>
      <c r="BL468" s="144">
        <f t="shared" si="69"/>
        <v>0</v>
      </c>
      <c r="BM468" s="144">
        <f t="shared" si="69"/>
        <v>0</v>
      </c>
      <c r="BN468" s="144">
        <f t="shared" si="69"/>
        <v>0</v>
      </c>
      <c r="BO468" s="144">
        <f t="shared" si="69"/>
        <v>0</v>
      </c>
      <c r="BP468" s="144"/>
      <c r="BQ468" s="144"/>
      <c r="BR468" s="144"/>
      <c r="BS468" s="144"/>
      <c r="BT468" s="144"/>
      <c r="BU468" s="144"/>
      <c r="BV468" s="144"/>
      <c r="BW468" s="144"/>
      <c r="BX468" s="144"/>
      <c r="BY468" s="144"/>
      <c r="BZ468" s="144">
        <f>SUBTOTAL(9,BZ462:BZ466)</f>
        <v>0</v>
      </c>
    </row>
    <row r="469" spans="2:78" s="121" customFormat="1" outlineLevel="2">
      <c r="B469" s="121" t="s">
        <v>1426</v>
      </c>
      <c r="C469" s="102" t="s">
        <v>1856</v>
      </c>
      <c r="D469" s="145" t="s">
        <v>198</v>
      </c>
      <c r="F469" s="149" t="s">
        <v>178</v>
      </c>
      <c r="G469" s="107" t="s">
        <v>199</v>
      </c>
      <c r="H469" s="122" t="s">
        <v>1857</v>
      </c>
      <c r="I469" s="124"/>
      <c r="J469" s="124"/>
      <c r="K469" s="124" t="s">
        <v>189</v>
      </c>
      <c r="L469" s="124" t="s">
        <v>529</v>
      </c>
      <c r="M469" s="125" t="s">
        <v>183</v>
      </c>
      <c r="N469" s="126">
        <f>SUM(O469:BO469)</f>
        <v>450</v>
      </c>
      <c r="O469" s="127">
        <v>0</v>
      </c>
      <c r="P469" s="130">
        <v>450</v>
      </c>
      <c r="Q469" s="127"/>
      <c r="R469" s="127"/>
      <c r="S469" s="127"/>
      <c r="T469" s="127"/>
      <c r="U469" s="127"/>
      <c r="V469" s="127"/>
      <c r="W469" s="127"/>
      <c r="X469" s="127">
        <v>0</v>
      </c>
      <c r="Y469" s="127"/>
      <c r="Z469" s="127"/>
      <c r="AA469" s="127"/>
      <c r="AB469" s="127">
        <v>0</v>
      </c>
      <c r="AC469" s="127"/>
      <c r="AD469" s="127"/>
      <c r="AE469" s="127"/>
      <c r="AF469" s="127"/>
      <c r="AG469" s="127">
        <v>0</v>
      </c>
      <c r="AH469" s="127"/>
      <c r="AI469" s="127"/>
      <c r="AJ469" s="127"/>
      <c r="AK469" s="127">
        <v>0</v>
      </c>
      <c r="AL469" s="127"/>
      <c r="AM469" s="127"/>
      <c r="AN469" s="127"/>
      <c r="AO469" s="127">
        <v>0</v>
      </c>
      <c r="AP469" s="127"/>
      <c r="AQ469" s="127"/>
      <c r="AR469" s="127"/>
      <c r="AS469" s="127"/>
      <c r="AT469" s="127">
        <v>0</v>
      </c>
      <c r="AU469" s="127"/>
      <c r="AV469" s="127"/>
      <c r="AW469" s="127"/>
      <c r="AX469" s="127">
        <v>0</v>
      </c>
      <c r="AY469" s="127"/>
      <c r="AZ469" s="127"/>
      <c r="BA469" s="127"/>
      <c r="BB469" s="127">
        <v>0</v>
      </c>
      <c r="BC469" s="127"/>
      <c r="BD469" s="127"/>
      <c r="BE469" s="127"/>
      <c r="BF469" s="127"/>
      <c r="BG469" s="127">
        <v>0</v>
      </c>
      <c r="BH469" s="127"/>
      <c r="BI469" s="127"/>
      <c r="BJ469" s="127"/>
      <c r="BK469" s="127">
        <v>0</v>
      </c>
      <c r="BL469" s="127"/>
      <c r="BM469" s="127"/>
      <c r="BN469" s="127"/>
      <c r="BO469" s="127"/>
      <c r="BP469" s="127" t="s">
        <v>1858</v>
      </c>
      <c r="BQ469" s="127" t="s">
        <v>189</v>
      </c>
      <c r="BR469" s="127" t="s">
        <v>189</v>
      </c>
      <c r="BS469" s="127" t="s">
        <v>189</v>
      </c>
      <c r="BT469" s="127" t="s">
        <v>188</v>
      </c>
      <c r="BU469" s="127" t="s">
        <v>189</v>
      </c>
      <c r="BV469" s="127" t="s">
        <v>188</v>
      </c>
      <c r="BW469" s="127" t="s">
        <v>343</v>
      </c>
      <c r="BX469" s="127" t="s">
        <v>189</v>
      </c>
      <c r="BY469" s="127" t="s">
        <v>189</v>
      </c>
      <c r="BZ469" s="131" t="s">
        <v>556</v>
      </c>
    </row>
    <row r="470" spans="2:78" s="121" customFormat="1" outlineLevel="2">
      <c r="B470" s="121" t="s">
        <v>1426</v>
      </c>
      <c r="C470" s="102" t="s">
        <v>1856</v>
      </c>
      <c r="D470" s="145" t="s">
        <v>198</v>
      </c>
      <c r="F470" s="107" t="s">
        <v>178</v>
      </c>
      <c r="G470" s="107" t="s">
        <v>199</v>
      </c>
      <c r="H470" s="122" t="s">
        <v>536</v>
      </c>
      <c r="I470" s="124"/>
      <c r="J470" s="124"/>
      <c r="K470" s="124" t="s">
        <v>537</v>
      </c>
      <c r="L470" s="124" t="s">
        <v>529</v>
      </c>
      <c r="M470" s="125" t="s">
        <v>183</v>
      </c>
      <c r="N470" s="126">
        <f>SUM(O470:BO470)</f>
        <v>500</v>
      </c>
      <c r="O470" s="130">
        <v>500</v>
      </c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  <c r="AC470" s="127"/>
      <c r="AD470" s="127"/>
      <c r="AE470" s="127"/>
      <c r="AF470" s="127"/>
      <c r="AG470" s="127"/>
      <c r="AH470" s="127"/>
      <c r="AI470" s="127"/>
      <c r="AJ470" s="127"/>
      <c r="AK470" s="127"/>
      <c r="AL470" s="127"/>
      <c r="AM470" s="127"/>
      <c r="AN470" s="127"/>
      <c r="AO470" s="127"/>
      <c r="AP470" s="127"/>
      <c r="AQ470" s="127"/>
      <c r="AR470" s="127"/>
      <c r="AS470" s="127"/>
      <c r="AT470" s="127"/>
      <c r="AU470" s="127"/>
      <c r="AV470" s="127"/>
      <c r="AW470" s="127"/>
      <c r="AX470" s="127"/>
      <c r="AY470" s="127"/>
      <c r="AZ470" s="127"/>
      <c r="BA470" s="127"/>
      <c r="BB470" s="127"/>
      <c r="BC470" s="127"/>
      <c r="BD470" s="127"/>
      <c r="BE470" s="127"/>
      <c r="BF470" s="127"/>
      <c r="BG470" s="127"/>
      <c r="BH470" s="127"/>
      <c r="BI470" s="127"/>
      <c r="BJ470" s="127"/>
      <c r="BK470" s="127"/>
      <c r="BL470" s="127"/>
      <c r="BM470" s="127"/>
      <c r="BN470" s="127"/>
      <c r="BO470" s="127"/>
      <c r="BP470" s="127"/>
      <c r="BQ470" s="127"/>
      <c r="BR470" s="127"/>
      <c r="BS470" s="127"/>
      <c r="BT470" s="127"/>
      <c r="BU470" s="127"/>
      <c r="BV470" s="127"/>
      <c r="BW470" s="127"/>
      <c r="BX470" s="127"/>
      <c r="BY470" s="127"/>
      <c r="BZ470" s="128"/>
    </row>
    <row r="471" spans="2:78" ht="12.75" customHeight="1" outlineLevel="2">
      <c r="B471" s="102" t="s">
        <v>1426</v>
      </c>
      <c r="C471" s="129" t="s">
        <v>1856</v>
      </c>
      <c r="D471" s="129" t="s">
        <v>198</v>
      </c>
      <c r="E471" s="163"/>
      <c r="F471" s="149" t="s">
        <v>178</v>
      </c>
      <c r="G471" s="129"/>
      <c r="H471" s="164" t="s">
        <v>1859</v>
      </c>
      <c r="I471" s="163"/>
      <c r="J471" s="172"/>
      <c r="K471" s="172"/>
      <c r="L471" s="147" t="s">
        <v>529</v>
      </c>
      <c r="M471" s="125" t="s">
        <v>183</v>
      </c>
      <c r="N471" s="124">
        <f>SUM(O471:BO471)</f>
        <v>5000</v>
      </c>
      <c r="O471" s="127">
        <v>700</v>
      </c>
      <c r="P471" s="127"/>
      <c r="Q471" s="127"/>
      <c r="R471" s="127"/>
      <c r="S471" s="127"/>
      <c r="T471" s="127">
        <v>700</v>
      </c>
      <c r="U471" s="127"/>
      <c r="V471" s="127"/>
      <c r="W471" s="127"/>
      <c r="X471" s="127">
        <v>700</v>
      </c>
      <c r="Y471" s="127"/>
      <c r="Z471" s="127"/>
      <c r="AA471" s="127"/>
      <c r="AB471" s="127">
        <v>700</v>
      </c>
      <c r="AC471" s="127"/>
      <c r="AD471" s="127"/>
      <c r="AE471" s="127"/>
      <c r="AF471" s="127"/>
      <c r="AG471" s="127">
        <v>700</v>
      </c>
      <c r="AH471" s="127"/>
      <c r="AI471" s="127"/>
      <c r="AJ471" s="127"/>
      <c r="AK471" s="127"/>
      <c r="AL471" s="127"/>
      <c r="AM471" s="127"/>
      <c r="AN471" s="127"/>
      <c r="AO471" s="127"/>
      <c r="AP471" s="127"/>
      <c r="AQ471" s="127"/>
      <c r="AR471" s="127"/>
      <c r="AS471" s="127"/>
      <c r="AT471" s="127"/>
      <c r="AU471" s="127"/>
      <c r="AV471" s="127"/>
      <c r="AW471" s="127"/>
      <c r="AX471" s="127">
        <v>500</v>
      </c>
      <c r="AY471" s="127"/>
      <c r="AZ471" s="127"/>
      <c r="BA471" s="127"/>
      <c r="BB471" s="127">
        <v>500</v>
      </c>
      <c r="BC471" s="127"/>
      <c r="BD471" s="127"/>
      <c r="BE471" s="127"/>
      <c r="BF471" s="127"/>
      <c r="BG471" s="127">
        <v>500</v>
      </c>
      <c r="BH471" s="127"/>
      <c r="BI471" s="127"/>
      <c r="BJ471" s="127"/>
      <c r="BK471" s="165"/>
      <c r="BL471" s="165"/>
      <c r="BM471" s="165"/>
      <c r="BN471" s="165"/>
      <c r="BO471" s="165"/>
      <c r="BP471" s="127" t="s">
        <v>1465</v>
      </c>
      <c r="BQ471" s="165"/>
      <c r="BR471" s="165"/>
      <c r="BS471" s="165"/>
      <c r="BT471" s="165"/>
      <c r="BU471" s="165"/>
      <c r="BV471" s="165"/>
      <c r="BW471" s="165"/>
      <c r="BX471" s="165"/>
      <c r="BY471" s="165"/>
      <c r="BZ471" s="165"/>
    </row>
    <row r="472" spans="2:78" s="121" customFormat="1" outlineLevel="2">
      <c r="B472" s="102" t="s">
        <v>1426</v>
      </c>
      <c r="C472" s="129" t="s">
        <v>1856</v>
      </c>
      <c r="D472" s="121" t="s">
        <v>195</v>
      </c>
      <c r="E472" s="102"/>
      <c r="F472" s="149" t="s">
        <v>178</v>
      </c>
      <c r="G472" s="107"/>
      <c r="H472" s="124" t="s">
        <v>1682</v>
      </c>
      <c r="I472" s="153" t="s">
        <v>1683</v>
      </c>
      <c r="J472" s="153"/>
      <c r="K472" s="153" t="s">
        <v>1860</v>
      </c>
      <c r="L472" s="153"/>
      <c r="M472" s="151" t="s">
        <v>249</v>
      </c>
      <c r="N472" s="126">
        <f>SUM(O472:BO472)</f>
        <v>7200</v>
      </c>
      <c r="O472" s="127"/>
      <c r="P472" s="130">
        <v>1200</v>
      </c>
      <c r="Q472" s="130">
        <v>1200</v>
      </c>
      <c r="R472" s="127"/>
      <c r="S472" s="127"/>
      <c r="T472" s="127"/>
      <c r="U472" s="127"/>
      <c r="V472" s="127"/>
      <c r="W472" s="127"/>
      <c r="X472" s="127"/>
      <c r="Y472" s="127"/>
      <c r="Z472" s="127">
        <v>1200</v>
      </c>
      <c r="AA472" s="127"/>
      <c r="AB472" s="127">
        <v>1200</v>
      </c>
      <c r="AC472" s="127"/>
      <c r="AD472" s="127"/>
      <c r="AE472" s="127"/>
      <c r="AF472" s="127"/>
      <c r="AG472" s="127"/>
      <c r="AH472" s="127"/>
      <c r="AI472" s="127"/>
      <c r="AJ472" s="127"/>
      <c r="AK472" s="127"/>
      <c r="AL472" s="127"/>
      <c r="AM472" s="127"/>
      <c r="AN472" s="127"/>
      <c r="AO472" s="127"/>
      <c r="AP472" s="127"/>
      <c r="AQ472" s="127"/>
      <c r="AR472" s="127"/>
      <c r="AS472" s="127"/>
      <c r="AT472" s="127"/>
      <c r="AU472" s="127"/>
      <c r="AV472" s="127"/>
      <c r="AW472" s="127"/>
      <c r="AX472" s="127"/>
      <c r="AY472" s="127">
        <v>1200</v>
      </c>
      <c r="AZ472" s="127">
        <v>1200</v>
      </c>
      <c r="BA472" s="127"/>
      <c r="BB472" s="127"/>
      <c r="BC472" s="127"/>
      <c r="BD472" s="127"/>
      <c r="BE472" s="127"/>
      <c r="BF472" s="127"/>
      <c r="BG472" s="127"/>
      <c r="BH472" s="127"/>
      <c r="BI472" s="127"/>
      <c r="BJ472" s="127"/>
      <c r="BK472" s="127"/>
      <c r="BL472" s="127"/>
      <c r="BM472" s="127"/>
      <c r="BN472" s="127"/>
      <c r="BO472" s="127"/>
      <c r="BP472" s="127"/>
      <c r="BQ472" s="127"/>
      <c r="BR472" s="127"/>
      <c r="BS472" s="127"/>
      <c r="BT472" s="127"/>
      <c r="BU472" s="127"/>
      <c r="BV472" s="127"/>
      <c r="BW472" s="127"/>
      <c r="BX472" s="127"/>
      <c r="BY472" s="127"/>
      <c r="BZ472" s="127"/>
    </row>
    <row r="473" spans="2:78" s="121" customFormat="1" outlineLevel="2">
      <c r="B473" s="102" t="s">
        <v>1426</v>
      </c>
      <c r="C473" s="129" t="s">
        <v>1856</v>
      </c>
      <c r="D473" s="121" t="s">
        <v>195</v>
      </c>
      <c r="E473" s="102"/>
      <c r="F473" s="149" t="s">
        <v>178</v>
      </c>
      <c r="G473" s="107"/>
      <c r="H473" s="124" t="s">
        <v>1682</v>
      </c>
      <c r="I473" s="153" t="s">
        <v>1683</v>
      </c>
      <c r="J473" s="153"/>
      <c r="K473" s="153" t="s">
        <v>1861</v>
      </c>
      <c r="L473" s="153"/>
      <c r="M473" s="151" t="s">
        <v>249</v>
      </c>
      <c r="N473" s="126">
        <f>SUM(O473:BO473)</f>
        <v>10800</v>
      </c>
      <c r="O473" s="130">
        <v>1200</v>
      </c>
      <c r="P473" s="130">
        <v>1200</v>
      </c>
      <c r="Q473" s="127"/>
      <c r="R473" s="127">
        <v>2400</v>
      </c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  <c r="AC473" s="127"/>
      <c r="AD473" s="127"/>
      <c r="AE473" s="127">
        <v>1200</v>
      </c>
      <c r="AF473" s="127">
        <v>1200</v>
      </c>
      <c r="AG473" s="127"/>
      <c r="AH473" s="127">
        <v>1200</v>
      </c>
      <c r="AI473" s="127"/>
      <c r="AJ473" s="127"/>
      <c r="AK473" s="127"/>
      <c r="AL473" s="127"/>
      <c r="AM473" s="127"/>
      <c r="AN473" s="127"/>
      <c r="AO473" s="127"/>
      <c r="AP473" s="127"/>
      <c r="AQ473" s="127"/>
      <c r="AR473" s="127"/>
      <c r="AS473" s="127"/>
      <c r="AT473" s="127"/>
      <c r="AU473" s="127"/>
      <c r="AV473" s="127"/>
      <c r="AW473" s="127"/>
      <c r="AX473" s="127">
        <v>1200</v>
      </c>
      <c r="AY473" s="127">
        <v>1200</v>
      </c>
      <c r="AZ473" s="127"/>
      <c r="BA473" s="127"/>
      <c r="BB473" s="127"/>
      <c r="BC473" s="127"/>
      <c r="BD473" s="127"/>
      <c r="BE473" s="127"/>
      <c r="BF473" s="127"/>
      <c r="BG473" s="127"/>
      <c r="BH473" s="127"/>
      <c r="BI473" s="127"/>
      <c r="BJ473" s="127"/>
      <c r="BK473" s="127"/>
      <c r="BL473" s="127"/>
      <c r="BM473" s="127"/>
      <c r="BN473" s="127"/>
      <c r="BO473" s="127"/>
      <c r="BP473" s="127"/>
      <c r="BQ473" s="127"/>
      <c r="BR473" s="127"/>
      <c r="BS473" s="127"/>
      <c r="BT473" s="127"/>
      <c r="BU473" s="127"/>
      <c r="BV473" s="127"/>
      <c r="BW473" s="127"/>
      <c r="BX473" s="127"/>
      <c r="BY473" s="127"/>
      <c r="BZ473" s="127"/>
    </row>
    <row r="474" spans="2:78" s="139" customFormat="1" outlineLevel="1">
      <c r="C474" s="140" t="s">
        <v>1862</v>
      </c>
      <c r="H474" s="141"/>
      <c r="I474" s="141"/>
      <c r="J474" s="141"/>
      <c r="K474" s="141"/>
      <c r="L474" s="141"/>
      <c r="M474" s="142"/>
      <c r="N474" s="143">
        <f>SUBTOTAL(9,N469:N473)</f>
        <v>23950</v>
      </c>
      <c r="O474" s="144">
        <f>SUBTOTAL(9,O469:O473)</f>
        <v>2400</v>
      </c>
      <c r="P474" s="144">
        <f t="shared" ref="P474:BO474" si="70">SUBTOTAL(9,P469:P473)</f>
        <v>2850</v>
      </c>
      <c r="Q474" s="144">
        <f t="shared" si="70"/>
        <v>1200</v>
      </c>
      <c r="R474" s="144">
        <f t="shared" si="70"/>
        <v>2400</v>
      </c>
      <c r="S474" s="144">
        <f t="shared" si="70"/>
        <v>0</v>
      </c>
      <c r="T474" s="144">
        <f t="shared" si="70"/>
        <v>700</v>
      </c>
      <c r="U474" s="144">
        <f t="shared" si="70"/>
        <v>0</v>
      </c>
      <c r="V474" s="144">
        <f t="shared" si="70"/>
        <v>0</v>
      </c>
      <c r="W474" s="144">
        <f t="shared" si="70"/>
        <v>0</v>
      </c>
      <c r="X474" s="144">
        <f t="shared" si="70"/>
        <v>700</v>
      </c>
      <c r="Y474" s="144">
        <f t="shared" si="70"/>
        <v>0</v>
      </c>
      <c r="Z474" s="144">
        <f t="shared" si="70"/>
        <v>1200</v>
      </c>
      <c r="AA474" s="144">
        <f t="shared" si="70"/>
        <v>0</v>
      </c>
      <c r="AB474" s="144">
        <f t="shared" si="70"/>
        <v>1900</v>
      </c>
      <c r="AC474" s="144">
        <f t="shared" si="70"/>
        <v>0</v>
      </c>
      <c r="AD474" s="144">
        <f t="shared" si="70"/>
        <v>0</v>
      </c>
      <c r="AE474" s="144">
        <f t="shared" si="70"/>
        <v>1200</v>
      </c>
      <c r="AF474" s="144">
        <f t="shared" si="70"/>
        <v>1200</v>
      </c>
      <c r="AG474" s="144">
        <f t="shared" si="70"/>
        <v>700</v>
      </c>
      <c r="AH474" s="144">
        <f t="shared" si="70"/>
        <v>1200</v>
      </c>
      <c r="AI474" s="144">
        <f t="shared" si="70"/>
        <v>0</v>
      </c>
      <c r="AJ474" s="144">
        <f t="shared" si="70"/>
        <v>0</v>
      </c>
      <c r="AK474" s="144">
        <f t="shared" si="70"/>
        <v>0</v>
      </c>
      <c r="AL474" s="144">
        <f t="shared" si="70"/>
        <v>0</v>
      </c>
      <c r="AM474" s="144">
        <f t="shared" si="70"/>
        <v>0</v>
      </c>
      <c r="AN474" s="144">
        <f t="shared" si="70"/>
        <v>0</v>
      </c>
      <c r="AO474" s="144">
        <f t="shared" si="70"/>
        <v>0</v>
      </c>
      <c r="AP474" s="144">
        <f t="shared" si="70"/>
        <v>0</v>
      </c>
      <c r="AQ474" s="144">
        <f t="shared" si="70"/>
        <v>0</v>
      </c>
      <c r="AR474" s="144">
        <f t="shared" si="70"/>
        <v>0</v>
      </c>
      <c r="AS474" s="144">
        <f t="shared" si="70"/>
        <v>0</v>
      </c>
      <c r="AT474" s="144">
        <f t="shared" si="70"/>
        <v>0</v>
      </c>
      <c r="AU474" s="144">
        <f t="shared" si="70"/>
        <v>0</v>
      </c>
      <c r="AV474" s="144">
        <f t="shared" si="70"/>
        <v>0</v>
      </c>
      <c r="AW474" s="144">
        <f t="shared" si="70"/>
        <v>0</v>
      </c>
      <c r="AX474" s="144">
        <f t="shared" si="70"/>
        <v>1700</v>
      </c>
      <c r="AY474" s="144">
        <f t="shared" si="70"/>
        <v>2400</v>
      </c>
      <c r="AZ474" s="144">
        <f t="shared" si="70"/>
        <v>1200</v>
      </c>
      <c r="BA474" s="144">
        <f t="shared" si="70"/>
        <v>0</v>
      </c>
      <c r="BB474" s="144">
        <f t="shared" si="70"/>
        <v>500</v>
      </c>
      <c r="BC474" s="144">
        <f t="shared" si="70"/>
        <v>0</v>
      </c>
      <c r="BD474" s="144">
        <f t="shared" si="70"/>
        <v>0</v>
      </c>
      <c r="BE474" s="144">
        <f t="shared" si="70"/>
        <v>0</v>
      </c>
      <c r="BF474" s="144">
        <f t="shared" si="70"/>
        <v>0</v>
      </c>
      <c r="BG474" s="144">
        <f t="shared" si="70"/>
        <v>500</v>
      </c>
      <c r="BH474" s="144">
        <f t="shared" si="70"/>
        <v>0</v>
      </c>
      <c r="BI474" s="144">
        <f t="shared" si="70"/>
        <v>0</v>
      </c>
      <c r="BJ474" s="144">
        <f t="shared" si="70"/>
        <v>0</v>
      </c>
      <c r="BK474" s="144">
        <f t="shared" si="70"/>
        <v>0</v>
      </c>
      <c r="BL474" s="144">
        <f t="shared" si="70"/>
        <v>0</v>
      </c>
      <c r="BM474" s="144">
        <f t="shared" si="70"/>
        <v>0</v>
      </c>
      <c r="BN474" s="144">
        <f t="shared" si="70"/>
        <v>0</v>
      </c>
      <c r="BO474" s="144">
        <f t="shared" si="70"/>
        <v>0</v>
      </c>
      <c r="BP474" s="144"/>
      <c r="BQ474" s="144"/>
      <c r="BR474" s="144"/>
      <c r="BS474" s="144"/>
      <c r="BT474" s="144"/>
      <c r="BU474" s="144"/>
      <c r="BV474" s="144"/>
      <c r="BW474" s="144"/>
      <c r="BX474" s="144"/>
      <c r="BY474" s="144"/>
      <c r="BZ474" s="144">
        <f>SUBTOTAL(9,BZ469:BZ469)</f>
        <v>0</v>
      </c>
    </row>
    <row r="475" spans="2:78" s="121" customFormat="1" outlineLevel="2">
      <c r="B475" s="121" t="s">
        <v>1426</v>
      </c>
      <c r="C475" s="121" t="s">
        <v>1863</v>
      </c>
      <c r="D475" s="145" t="s">
        <v>198</v>
      </c>
      <c r="E475" s="171" t="s">
        <v>1864</v>
      </c>
      <c r="F475" s="149" t="s">
        <v>178</v>
      </c>
      <c r="G475" s="107" t="s">
        <v>199</v>
      </c>
      <c r="H475" s="122" t="s">
        <v>836</v>
      </c>
      <c r="I475" s="124"/>
      <c r="J475" s="124"/>
      <c r="K475" s="124" t="s">
        <v>1865</v>
      </c>
      <c r="L475" s="124" t="s">
        <v>648</v>
      </c>
      <c r="M475" s="125" t="s">
        <v>183</v>
      </c>
      <c r="N475" s="126">
        <f t="shared" ref="N475:N495" si="71">SUM(O475:BO475)</f>
        <v>1500</v>
      </c>
      <c r="O475" s="127">
        <v>0</v>
      </c>
      <c r="P475" s="130">
        <v>500</v>
      </c>
      <c r="Q475" s="127"/>
      <c r="R475" s="130">
        <v>500</v>
      </c>
      <c r="S475" s="127"/>
      <c r="T475" s="130">
        <v>500</v>
      </c>
      <c r="U475" s="127"/>
      <c r="V475" s="127"/>
      <c r="W475" s="127"/>
      <c r="X475" s="127">
        <v>0</v>
      </c>
      <c r="Y475" s="127"/>
      <c r="Z475" s="127"/>
      <c r="AA475" s="127"/>
      <c r="AB475" s="127"/>
      <c r="AC475" s="127"/>
      <c r="AD475" s="127"/>
      <c r="AE475" s="127"/>
      <c r="AF475" s="127"/>
      <c r="AG475" s="127">
        <v>0</v>
      </c>
      <c r="AH475" s="127"/>
      <c r="AI475" s="127"/>
      <c r="AJ475" s="127"/>
      <c r="AK475" s="127">
        <v>0</v>
      </c>
      <c r="AL475" s="127"/>
      <c r="AM475" s="127"/>
      <c r="AN475" s="127"/>
      <c r="AO475" s="127">
        <v>0</v>
      </c>
      <c r="AP475" s="127"/>
      <c r="AQ475" s="127"/>
      <c r="AR475" s="127"/>
      <c r="AS475" s="127"/>
      <c r="AT475" s="127">
        <v>0</v>
      </c>
      <c r="AU475" s="127"/>
      <c r="AV475" s="127"/>
      <c r="AW475" s="127"/>
      <c r="AX475" s="127">
        <v>0</v>
      </c>
      <c r="AY475" s="127"/>
      <c r="AZ475" s="127"/>
      <c r="BA475" s="127"/>
      <c r="BB475" s="127">
        <v>0</v>
      </c>
      <c r="BC475" s="127"/>
      <c r="BD475" s="127"/>
      <c r="BE475" s="127"/>
      <c r="BF475" s="127"/>
      <c r="BG475" s="127">
        <v>0</v>
      </c>
      <c r="BH475" s="127"/>
      <c r="BI475" s="127"/>
      <c r="BJ475" s="127"/>
      <c r="BK475" s="127">
        <v>0</v>
      </c>
      <c r="BL475" s="127"/>
      <c r="BM475" s="127"/>
      <c r="BN475" s="127"/>
      <c r="BO475" s="127"/>
      <c r="BP475" s="127" t="s">
        <v>837</v>
      </c>
      <c r="BQ475" s="127" t="s">
        <v>786</v>
      </c>
      <c r="BR475" s="127" t="s">
        <v>838</v>
      </c>
      <c r="BS475" s="127" t="s">
        <v>839</v>
      </c>
      <c r="BT475" s="127" t="s">
        <v>188</v>
      </c>
      <c r="BU475" s="127" t="s">
        <v>189</v>
      </c>
      <c r="BV475" s="127" t="s">
        <v>205</v>
      </c>
      <c r="BW475" s="127" t="s">
        <v>191</v>
      </c>
      <c r="BX475" s="127" t="s">
        <v>840</v>
      </c>
      <c r="BY475" s="127" t="s">
        <v>189</v>
      </c>
      <c r="BZ475" s="127" t="s">
        <v>189</v>
      </c>
    </row>
    <row r="476" spans="2:78" s="121" customFormat="1" outlineLevel="2">
      <c r="B476" s="121" t="s">
        <v>1426</v>
      </c>
      <c r="C476" s="121" t="s">
        <v>1863</v>
      </c>
      <c r="D476" s="145" t="s">
        <v>198</v>
      </c>
      <c r="F476" s="149" t="s">
        <v>178</v>
      </c>
      <c r="H476" s="122" t="s">
        <v>1866</v>
      </c>
      <c r="I476" s="124"/>
      <c r="J476" s="124"/>
      <c r="K476" s="124" t="s">
        <v>1867</v>
      </c>
      <c r="L476" s="124" t="s">
        <v>648</v>
      </c>
      <c r="M476" s="125" t="s">
        <v>183</v>
      </c>
      <c r="N476" s="126">
        <f t="shared" si="71"/>
        <v>500</v>
      </c>
      <c r="O476" s="127"/>
      <c r="P476" s="127"/>
      <c r="Q476" s="127"/>
      <c r="R476" s="127"/>
      <c r="S476" s="127"/>
      <c r="T476" s="127">
        <v>500</v>
      </c>
      <c r="U476" s="127"/>
      <c r="V476" s="127"/>
      <c r="W476" s="127"/>
      <c r="X476" s="127">
        <v>0</v>
      </c>
      <c r="Y476" s="127"/>
      <c r="Z476" s="127"/>
      <c r="AA476" s="127"/>
      <c r="AB476" s="127">
        <v>0</v>
      </c>
      <c r="AC476" s="127"/>
      <c r="AD476" s="127"/>
      <c r="AE476" s="127"/>
      <c r="AF476" s="127"/>
      <c r="AG476" s="127">
        <v>0</v>
      </c>
      <c r="AH476" s="127"/>
      <c r="AI476" s="127"/>
      <c r="AJ476" s="127"/>
      <c r="AK476" s="127">
        <v>0</v>
      </c>
      <c r="AL476" s="127"/>
      <c r="AM476" s="127"/>
      <c r="AN476" s="127"/>
      <c r="AO476" s="127">
        <v>0</v>
      </c>
      <c r="AP476" s="127"/>
      <c r="AQ476" s="127"/>
      <c r="AR476" s="127"/>
      <c r="AS476" s="127"/>
      <c r="AT476" s="127">
        <v>0</v>
      </c>
      <c r="AU476" s="127"/>
      <c r="AV476" s="127"/>
      <c r="AW476" s="127"/>
      <c r="AX476" s="127">
        <v>0</v>
      </c>
      <c r="AY476" s="127"/>
      <c r="AZ476" s="127"/>
      <c r="BA476" s="127"/>
      <c r="BB476" s="127">
        <v>0</v>
      </c>
      <c r="BC476" s="127"/>
      <c r="BD476" s="127"/>
      <c r="BE476" s="127"/>
      <c r="BF476" s="127"/>
      <c r="BG476" s="127">
        <v>0</v>
      </c>
      <c r="BH476" s="127"/>
      <c r="BI476" s="127"/>
      <c r="BJ476" s="127"/>
      <c r="BK476" s="127">
        <v>0</v>
      </c>
      <c r="BL476" s="127"/>
      <c r="BM476" s="127"/>
      <c r="BN476" s="127"/>
      <c r="BO476" s="127"/>
      <c r="BP476" s="127" t="s">
        <v>1868</v>
      </c>
      <c r="BQ476" s="127" t="s">
        <v>650</v>
      </c>
      <c r="BR476" s="127" t="s">
        <v>1869</v>
      </c>
      <c r="BS476" s="127" t="s">
        <v>1870</v>
      </c>
      <c r="BT476" s="127" t="s">
        <v>188</v>
      </c>
      <c r="BU476" s="127" t="s">
        <v>189</v>
      </c>
      <c r="BV476" s="127" t="s">
        <v>304</v>
      </c>
      <c r="BW476" s="127" t="s">
        <v>191</v>
      </c>
      <c r="BX476" s="127" t="s">
        <v>828</v>
      </c>
      <c r="BY476" s="127" t="s">
        <v>189</v>
      </c>
      <c r="BZ476" s="128" t="s">
        <v>680</v>
      </c>
    </row>
    <row r="477" spans="2:78" s="121" customFormat="1" outlineLevel="2">
      <c r="B477" s="121" t="s">
        <v>1426</v>
      </c>
      <c r="C477" s="121" t="s">
        <v>1863</v>
      </c>
      <c r="D477" s="145" t="s">
        <v>1440</v>
      </c>
      <c r="F477" s="149" t="s">
        <v>178</v>
      </c>
      <c r="H477" s="122" t="s">
        <v>1866</v>
      </c>
      <c r="I477" s="124"/>
      <c r="J477" s="124"/>
      <c r="K477" s="124" t="s">
        <v>1867</v>
      </c>
      <c r="L477" s="124" t="s">
        <v>648</v>
      </c>
      <c r="M477" s="125" t="s">
        <v>183</v>
      </c>
      <c r="N477" s="126">
        <f>SUM(O477:BO477)</f>
        <v>100</v>
      </c>
      <c r="O477" s="127"/>
      <c r="P477" s="127"/>
      <c r="Q477" s="127"/>
      <c r="R477" s="127"/>
      <c r="S477" s="127"/>
      <c r="T477" s="127">
        <v>100</v>
      </c>
      <c r="U477" s="127"/>
      <c r="V477" s="127"/>
      <c r="W477" s="127"/>
      <c r="X477" s="127">
        <v>0</v>
      </c>
      <c r="Y477" s="127"/>
      <c r="Z477" s="127"/>
      <c r="AA477" s="127"/>
      <c r="AB477" s="127">
        <v>0</v>
      </c>
      <c r="AC477" s="127"/>
      <c r="AD477" s="127"/>
      <c r="AE477" s="127"/>
      <c r="AF477" s="127"/>
      <c r="AG477" s="127">
        <v>0</v>
      </c>
      <c r="AH477" s="127"/>
      <c r="AI477" s="127"/>
      <c r="AJ477" s="127"/>
      <c r="AK477" s="127">
        <v>0</v>
      </c>
      <c r="AL477" s="127"/>
      <c r="AM477" s="127"/>
      <c r="AN477" s="127"/>
      <c r="AO477" s="127">
        <v>0</v>
      </c>
      <c r="AP477" s="127"/>
      <c r="AQ477" s="127"/>
      <c r="AR477" s="127"/>
      <c r="AS477" s="127"/>
      <c r="AT477" s="127">
        <v>0</v>
      </c>
      <c r="AU477" s="127"/>
      <c r="AV477" s="127"/>
      <c r="AW477" s="127"/>
      <c r="AX477" s="127">
        <v>0</v>
      </c>
      <c r="AY477" s="127"/>
      <c r="AZ477" s="127"/>
      <c r="BA477" s="127"/>
      <c r="BB477" s="127">
        <v>0</v>
      </c>
      <c r="BC477" s="127"/>
      <c r="BD477" s="127"/>
      <c r="BE477" s="127"/>
      <c r="BF477" s="127"/>
      <c r="BG477" s="127">
        <v>0</v>
      </c>
      <c r="BH477" s="127"/>
      <c r="BI477" s="127"/>
      <c r="BJ477" s="127"/>
      <c r="BK477" s="127">
        <v>0</v>
      </c>
      <c r="BL477" s="127"/>
      <c r="BM477" s="127"/>
      <c r="BN477" s="127"/>
      <c r="BO477" s="127"/>
      <c r="BP477" s="127" t="s">
        <v>1868</v>
      </c>
      <c r="BQ477" s="127" t="s">
        <v>650</v>
      </c>
      <c r="BR477" s="127" t="s">
        <v>1869</v>
      </c>
      <c r="BS477" s="127" t="s">
        <v>1870</v>
      </c>
      <c r="BT477" s="127" t="s">
        <v>188</v>
      </c>
      <c r="BU477" s="127" t="s">
        <v>189</v>
      </c>
      <c r="BV477" s="127" t="s">
        <v>304</v>
      </c>
      <c r="BW477" s="127" t="s">
        <v>191</v>
      </c>
      <c r="BX477" s="127" t="s">
        <v>828</v>
      </c>
      <c r="BY477" s="127" t="s">
        <v>189</v>
      </c>
      <c r="BZ477" s="128" t="s">
        <v>680</v>
      </c>
    </row>
    <row r="478" spans="2:78" s="121" customFormat="1" outlineLevel="2">
      <c r="B478" s="121" t="s">
        <v>1426</v>
      </c>
      <c r="C478" s="121" t="s">
        <v>1863</v>
      </c>
      <c r="D478" s="145" t="s">
        <v>198</v>
      </c>
      <c r="F478" s="149" t="s">
        <v>178</v>
      </c>
      <c r="H478" s="124" t="s">
        <v>1871</v>
      </c>
      <c r="I478" s="124"/>
      <c r="J478" s="124"/>
      <c r="K478" s="124" t="s">
        <v>189</v>
      </c>
      <c r="L478" s="124" t="s">
        <v>648</v>
      </c>
      <c r="M478" s="125" t="s">
        <v>183</v>
      </c>
      <c r="N478" s="126">
        <f t="shared" si="71"/>
        <v>500</v>
      </c>
      <c r="O478" s="127">
        <v>0</v>
      </c>
      <c r="P478" s="127"/>
      <c r="Q478" s="127"/>
      <c r="R478" s="127"/>
      <c r="S478" s="127"/>
      <c r="T478" s="127">
        <v>0</v>
      </c>
      <c r="U478" s="127"/>
      <c r="V478" s="127"/>
      <c r="W478" s="127"/>
      <c r="X478" s="127">
        <v>0</v>
      </c>
      <c r="Y478" s="127"/>
      <c r="Z478" s="127"/>
      <c r="AA478" s="127"/>
      <c r="AB478" s="127">
        <v>500</v>
      </c>
      <c r="AC478" s="127"/>
      <c r="AD478" s="127"/>
      <c r="AE478" s="127"/>
      <c r="AF478" s="127"/>
      <c r="AG478" s="127">
        <v>0</v>
      </c>
      <c r="AH478" s="127"/>
      <c r="AI478" s="127"/>
      <c r="AJ478" s="127"/>
      <c r="AK478" s="127">
        <v>0</v>
      </c>
      <c r="AL478" s="127"/>
      <c r="AM478" s="127"/>
      <c r="AN478" s="127"/>
      <c r="AO478" s="127">
        <v>0</v>
      </c>
      <c r="AP478" s="127"/>
      <c r="AQ478" s="127"/>
      <c r="AR478" s="127"/>
      <c r="AS478" s="127"/>
      <c r="AT478" s="127">
        <v>0</v>
      </c>
      <c r="AU478" s="127"/>
      <c r="AV478" s="127"/>
      <c r="AW478" s="127"/>
      <c r="AX478" s="127">
        <v>0</v>
      </c>
      <c r="AY478" s="127"/>
      <c r="AZ478" s="127"/>
      <c r="BA478" s="127"/>
      <c r="BB478" s="127">
        <v>0</v>
      </c>
      <c r="BC478" s="127"/>
      <c r="BD478" s="127"/>
      <c r="BE478" s="127"/>
      <c r="BF478" s="127"/>
      <c r="BG478" s="127">
        <v>0</v>
      </c>
      <c r="BH478" s="127"/>
      <c r="BI478" s="127"/>
      <c r="BJ478" s="127"/>
      <c r="BK478" s="127">
        <v>0</v>
      </c>
      <c r="BL478" s="127"/>
      <c r="BM478" s="127"/>
      <c r="BN478" s="127"/>
      <c r="BO478" s="127"/>
      <c r="BP478" s="127" t="s">
        <v>1872</v>
      </c>
      <c r="BQ478" s="127" t="s">
        <v>786</v>
      </c>
      <c r="BR478" s="127" t="s">
        <v>1873</v>
      </c>
      <c r="BS478" s="127" t="s">
        <v>1874</v>
      </c>
      <c r="BT478" s="127" t="s">
        <v>188</v>
      </c>
      <c r="BU478" s="127" t="s">
        <v>189</v>
      </c>
      <c r="BV478" s="127" t="s">
        <v>205</v>
      </c>
      <c r="BW478" s="127" t="s">
        <v>343</v>
      </c>
      <c r="BX478" s="127" t="s">
        <v>812</v>
      </c>
      <c r="BY478" s="127" t="s">
        <v>998</v>
      </c>
      <c r="BZ478" s="127" t="s">
        <v>789</v>
      </c>
    </row>
    <row r="479" spans="2:78" s="121" customFormat="1" outlineLevel="2">
      <c r="B479" s="121" t="s">
        <v>1426</v>
      </c>
      <c r="C479" s="121" t="s">
        <v>1863</v>
      </c>
      <c r="D479" s="145" t="s">
        <v>198</v>
      </c>
      <c r="F479" s="149" t="s">
        <v>178</v>
      </c>
      <c r="H479" s="124" t="s">
        <v>1875</v>
      </c>
      <c r="I479" s="124"/>
      <c r="J479" s="124"/>
      <c r="K479" s="124" t="s">
        <v>1876</v>
      </c>
      <c r="L479" s="124" t="s">
        <v>648</v>
      </c>
      <c r="M479" s="125" t="s">
        <v>183</v>
      </c>
      <c r="N479" s="126">
        <f t="shared" si="71"/>
        <v>1000</v>
      </c>
      <c r="O479" s="127">
        <v>0</v>
      </c>
      <c r="P479" s="127"/>
      <c r="Q479" s="127"/>
      <c r="R479" s="127"/>
      <c r="S479" s="127"/>
      <c r="T479" s="127">
        <v>0</v>
      </c>
      <c r="U479" s="127"/>
      <c r="V479" s="127"/>
      <c r="W479" s="127"/>
      <c r="X479" s="127">
        <v>0</v>
      </c>
      <c r="Y479" s="127"/>
      <c r="Z479" s="127"/>
      <c r="AA479" s="127"/>
      <c r="AB479" s="127">
        <v>0</v>
      </c>
      <c r="AC479" s="127"/>
      <c r="AD479" s="127"/>
      <c r="AE479" s="127"/>
      <c r="AF479" s="127"/>
      <c r="AG479" s="127">
        <v>0</v>
      </c>
      <c r="AH479" s="127"/>
      <c r="AI479" s="127"/>
      <c r="AJ479" s="127"/>
      <c r="AK479" s="127">
        <v>0</v>
      </c>
      <c r="AL479" s="127"/>
      <c r="AM479" s="127"/>
      <c r="AN479" s="127"/>
      <c r="AO479" s="127">
        <v>0</v>
      </c>
      <c r="AP479" s="127"/>
      <c r="AQ479" s="127"/>
      <c r="AR479" s="127"/>
      <c r="AS479" s="127"/>
      <c r="AT479" s="127">
        <v>0</v>
      </c>
      <c r="AU479" s="127"/>
      <c r="AV479" s="127"/>
      <c r="AW479" s="127"/>
      <c r="AX479" s="127">
        <v>0</v>
      </c>
      <c r="AY479" s="127"/>
      <c r="AZ479" s="127"/>
      <c r="BA479" s="127"/>
      <c r="BB479" s="127">
        <v>1000</v>
      </c>
      <c r="BC479" s="127"/>
      <c r="BD479" s="127"/>
      <c r="BE479" s="127"/>
      <c r="BF479" s="127"/>
      <c r="BG479" s="127">
        <v>0</v>
      </c>
      <c r="BH479" s="127"/>
      <c r="BI479" s="127"/>
      <c r="BJ479" s="127"/>
      <c r="BK479" s="127">
        <v>0</v>
      </c>
      <c r="BL479" s="127"/>
      <c r="BM479" s="127"/>
      <c r="BN479" s="127"/>
      <c r="BO479" s="127"/>
      <c r="BP479" s="127" t="s">
        <v>1877</v>
      </c>
      <c r="BQ479" s="127" t="s">
        <v>786</v>
      </c>
      <c r="BR479" s="127" t="s">
        <v>1878</v>
      </c>
      <c r="BS479" s="127" t="s">
        <v>1879</v>
      </c>
      <c r="BT479" s="127" t="s">
        <v>188</v>
      </c>
      <c r="BU479" s="127" t="s">
        <v>189</v>
      </c>
      <c r="BV479" s="127" t="s">
        <v>205</v>
      </c>
      <c r="BW479" s="127" t="s">
        <v>343</v>
      </c>
      <c r="BX479" s="127" t="s">
        <v>978</v>
      </c>
      <c r="BY479" s="127" t="s">
        <v>1880</v>
      </c>
      <c r="BZ479" s="127" t="s">
        <v>814</v>
      </c>
    </row>
    <row r="480" spans="2:78" s="121" customFormat="1" outlineLevel="2">
      <c r="B480" s="121" t="s">
        <v>1426</v>
      </c>
      <c r="C480" s="121" t="s">
        <v>1863</v>
      </c>
      <c r="D480" s="145" t="s">
        <v>198</v>
      </c>
      <c r="F480" s="149" t="s">
        <v>178</v>
      </c>
      <c r="H480" s="124" t="s">
        <v>1881</v>
      </c>
      <c r="I480" s="124"/>
      <c r="J480" s="124"/>
      <c r="K480" s="124" t="s">
        <v>1882</v>
      </c>
      <c r="L480" s="124" t="s">
        <v>648</v>
      </c>
      <c r="M480" s="125" t="s">
        <v>183</v>
      </c>
      <c r="N480" s="126">
        <f t="shared" si="71"/>
        <v>600</v>
      </c>
      <c r="O480" s="127">
        <v>0</v>
      </c>
      <c r="P480" s="127"/>
      <c r="Q480" s="127"/>
      <c r="R480" s="127"/>
      <c r="S480" s="127"/>
      <c r="T480" s="127">
        <v>0</v>
      </c>
      <c r="U480" s="127"/>
      <c r="V480" s="127"/>
      <c r="W480" s="127"/>
      <c r="X480" s="127">
        <v>600</v>
      </c>
      <c r="Y480" s="127"/>
      <c r="Z480" s="127"/>
      <c r="AA480" s="127"/>
      <c r="AB480" s="127">
        <v>0</v>
      </c>
      <c r="AC480" s="127"/>
      <c r="AD480" s="127"/>
      <c r="AE480" s="127"/>
      <c r="AF480" s="127"/>
      <c r="AG480" s="127">
        <v>0</v>
      </c>
      <c r="AH480" s="127"/>
      <c r="AI480" s="127"/>
      <c r="AJ480" s="127"/>
      <c r="AK480" s="127">
        <v>0</v>
      </c>
      <c r="AL480" s="127"/>
      <c r="AM480" s="127"/>
      <c r="AN480" s="127"/>
      <c r="AO480" s="127">
        <v>0</v>
      </c>
      <c r="AP480" s="127"/>
      <c r="AQ480" s="127"/>
      <c r="AR480" s="127"/>
      <c r="AS480" s="127"/>
      <c r="AT480" s="127">
        <v>0</v>
      </c>
      <c r="AU480" s="127"/>
      <c r="AV480" s="127"/>
      <c r="AW480" s="127"/>
      <c r="AX480" s="127">
        <v>0</v>
      </c>
      <c r="AY480" s="127"/>
      <c r="AZ480" s="127"/>
      <c r="BA480" s="127"/>
      <c r="BB480" s="127">
        <v>0</v>
      </c>
      <c r="BC480" s="127"/>
      <c r="BD480" s="127"/>
      <c r="BE480" s="127"/>
      <c r="BF480" s="127"/>
      <c r="BG480" s="127">
        <v>0</v>
      </c>
      <c r="BH480" s="127"/>
      <c r="BI480" s="127"/>
      <c r="BJ480" s="127"/>
      <c r="BK480" s="127">
        <v>0</v>
      </c>
      <c r="BL480" s="127"/>
      <c r="BM480" s="127"/>
      <c r="BN480" s="127"/>
      <c r="BO480" s="127"/>
      <c r="BP480" s="127" t="s">
        <v>1883</v>
      </c>
      <c r="BQ480" s="127" t="s">
        <v>786</v>
      </c>
      <c r="BR480" s="127" t="s">
        <v>1884</v>
      </c>
      <c r="BS480" s="127" t="s">
        <v>1885</v>
      </c>
      <c r="BT480" s="127" t="s">
        <v>188</v>
      </c>
      <c r="BU480" s="127" t="s">
        <v>189</v>
      </c>
      <c r="BV480" s="127" t="s">
        <v>205</v>
      </c>
      <c r="BW480" s="127" t="s">
        <v>191</v>
      </c>
      <c r="BX480" s="127" t="s">
        <v>500</v>
      </c>
      <c r="BY480" s="127" t="s">
        <v>189</v>
      </c>
      <c r="BZ480" s="128" t="s">
        <v>1886</v>
      </c>
    </row>
    <row r="481" spans="2:78" s="121" customFormat="1" outlineLevel="2">
      <c r="B481" s="121" t="s">
        <v>1426</v>
      </c>
      <c r="C481" s="121" t="s">
        <v>1863</v>
      </c>
      <c r="D481" s="145" t="s">
        <v>198</v>
      </c>
      <c r="F481" s="149" t="s">
        <v>178</v>
      </c>
      <c r="H481" s="124" t="s">
        <v>1887</v>
      </c>
      <c r="I481" s="124"/>
      <c r="J481" s="124"/>
      <c r="K481" s="124" t="s">
        <v>790</v>
      </c>
      <c r="L481" s="124" t="s">
        <v>648</v>
      </c>
      <c r="M481" s="125" t="s">
        <v>183</v>
      </c>
      <c r="N481" s="126">
        <f t="shared" si="71"/>
        <v>1253</v>
      </c>
      <c r="O481" s="127">
        <v>0</v>
      </c>
      <c r="P481" s="127"/>
      <c r="Q481" s="127"/>
      <c r="R481" s="127"/>
      <c r="S481" s="127"/>
      <c r="T481" s="127">
        <v>0</v>
      </c>
      <c r="U481" s="127"/>
      <c r="V481" s="127"/>
      <c r="W481" s="127"/>
      <c r="X481" s="127">
        <v>0</v>
      </c>
      <c r="Y481" s="127"/>
      <c r="Z481" s="127"/>
      <c r="AA481" s="127"/>
      <c r="AB481" s="127">
        <v>0</v>
      </c>
      <c r="AC481" s="127"/>
      <c r="AD481" s="127"/>
      <c r="AE481" s="127"/>
      <c r="AF481" s="127"/>
      <c r="AG481" s="127">
        <v>0</v>
      </c>
      <c r="AH481" s="127"/>
      <c r="AI481" s="127"/>
      <c r="AJ481" s="127"/>
      <c r="AK481" s="127">
        <v>0</v>
      </c>
      <c r="AL481" s="127"/>
      <c r="AM481" s="127"/>
      <c r="AN481" s="127"/>
      <c r="AO481" s="127">
        <v>0</v>
      </c>
      <c r="AP481" s="127"/>
      <c r="AQ481" s="127"/>
      <c r="AR481" s="127"/>
      <c r="AS481" s="127"/>
      <c r="AT481" s="127">
        <v>0</v>
      </c>
      <c r="AU481" s="127"/>
      <c r="AV481" s="127"/>
      <c r="AW481" s="127"/>
      <c r="AX481" s="127">
        <v>0</v>
      </c>
      <c r="AY481" s="127"/>
      <c r="AZ481" s="127"/>
      <c r="BA481" s="127"/>
      <c r="BB481" s="127">
        <v>1253</v>
      </c>
      <c r="BC481" s="127"/>
      <c r="BD481" s="127"/>
      <c r="BE481" s="127"/>
      <c r="BF481" s="127"/>
      <c r="BG481" s="127">
        <v>0</v>
      </c>
      <c r="BH481" s="127"/>
      <c r="BI481" s="127"/>
      <c r="BJ481" s="127"/>
      <c r="BK481" s="127">
        <v>0</v>
      </c>
      <c r="BL481" s="127"/>
      <c r="BM481" s="127"/>
      <c r="BN481" s="127"/>
      <c r="BO481" s="127"/>
      <c r="BP481" s="127" t="s">
        <v>1888</v>
      </c>
      <c r="BQ481" s="127" t="s">
        <v>786</v>
      </c>
      <c r="BR481" s="127" t="s">
        <v>1889</v>
      </c>
      <c r="BS481" s="127" t="s">
        <v>1890</v>
      </c>
      <c r="BT481" s="127" t="s">
        <v>188</v>
      </c>
      <c r="BU481" s="127" t="s">
        <v>189</v>
      </c>
      <c r="BV481" s="127" t="s">
        <v>205</v>
      </c>
      <c r="BW481" s="127" t="s">
        <v>343</v>
      </c>
      <c r="BX481" s="127" t="s">
        <v>1891</v>
      </c>
      <c r="BY481" s="127" t="s">
        <v>189</v>
      </c>
      <c r="BZ481" s="127" t="s">
        <v>789</v>
      </c>
    </row>
    <row r="482" spans="2:78" s="121" customFormat="1" outlineLevel="2">
      <c r="B482" s="121" t="s">
        <v>1426</v>
      </c>
      <c r="C482" s="121" t="s">
        <v>1863</v>
      </c>
      <c r="D482" s="145" t="s">
        <v>198</v>
      </c>
      <c r="F482" s="149" t="s">
        <v>178</v>
      </c>
      <c r="H482" s="122" t="s">
        <v>824</v>
      </c>
      <c r="I482" s="124"/>
      <c r="J482" s="124"/>
      <c r="K482" s="124" t="s">
        <v>1892</v>
      </c>
      <c r="L482" s="124" t="s">
        <v>648</v>
      </c>
      <c r="M482" s="125" t="s">
        <v>183</v>
      </c>
      <c r="N482" s="126">
        <f t="shared" si="71"/>
        <v>1100</v>
      </c>
      <c r="O482" s="127"/>
      <c r="P482" s="127">
        <v>400</v>
      </c>
      <c r="Q482" s="127"/>
      <c r="R482" s="127"/>
      <c r="S482" s="127"/>
      <c r="T482" s="127"/>
      <c r="U482" s="127"/>
      <c r="V482" s="127"/>
      <c r="W482" s="127">
        <v>700</v>
      </c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27">
        <v>0</v>
      </c>
      <c r="AH482" s="127"/>
      <c r="AI482" s="127"/>
      <c r="AJ482" s="127"/>
      <c r="AK482" s="127">
        <v>0</v>
      </c>
      <c r="AL482" s="127"/>
      <c r="AM482" s="127"/>
      <c r="AN482" s="127"/>
      <c r="AO482" s="127">
        <v>0</v>
      </c>
      <c r="AP482" s="127"/>
      <c r="AQ482" s="127"/>
      <c r="AR482" s="127"/>
      <c r="AS482" s="127"/>
      <c r="AT482" s="127">
        <v>0</v>
      </c>
      <c r="AU482" s="127"/>
      <c r="AV482" s="127"/>
      <c r="AW482" s="127"/>
      <c r="AX482" s="127">
        <v>0</v>
      </c>
      <c r="AY482" s="127"/>
      <c r="AZ482" s="127"/>
      <c r="BA482" s="127"/>
      <c r="BB482" s="127">
        <v>0</v>
      </c>
      <c r="BC482" s="127"/>
      <c r="BD482" s="127"/>
      <c r="BE482" s="127"/>
      <c r="BF482" s="127"/>
      <c r="BG482" s="127">
        <v>0</v>
      </c>
      <c r="BH482" s="127"/>
      <c r="BI482" s="127"/>
      <c r="BJ482" s="127"/>
      <c r="BK482" s="127">
        <v>0</v>
      </c>
      <c r="BL482" s="127"/>
      <c r="BM482" s="127"/>
      <c r="BN482" s="127"/>
      <c r="BO482" s="127"/>
      <c r="BP482" s="127" t="s">
        <v>825</v>
      </c>
      <c r="BQ482" s="127" t="s">
        <v>650</v>
      </c>
      <c r="BR482" s="127" t="s">
        <v>826</v>
      </c>
      <c r="BS482" s="127" t="s">
        <v>827</v>
      </c>
      <c r="BT482" s="127" t="s">
        <v>303</v>
      </c>
      <c r="BU482" s="127" t="s">
        <v>189</v>
      </c>
      <c r="BV482" s="127" t="s">
        <v>205</v>
      </c>
      <c r="BW482" s="127" t="s">
        <v>191</v>
      </c>
      <c r="BX482" s="127" t="s">
        <v>828</v>
      </c>
      <c r="BY482" s="127" t="s">
        <v>829</v>
      </c>
      <c r="BZ482" s="128" t="s">
        <v>830</v>
      </c>
    </row>
    <row r="483" spans="2:78" s="121" customFormat="1" outlineLevel="2">
      <c r="B483" s="121" t="s">
        <v>1426</v>
      </c>
      <c r="C483" s="121" t="s">
        <v>1863</v>
      </c>
      <c r="D483" s="145" t="s">
        <v>1440</v>
      </c>
      <c r="F483" s="149" t="s">
        <v>178</v>
      </c>
      <c r="H483" s="122" t="s">
        <v>824</v>
      </c>
      <c r="I483" s="124"/>
      <c r="J483" s="124"/>
      <c r="K483" s="124" t="s">
        <v>1892</v>
      </c>
      <c r="L483" s="124" t="s">
        <v>648</v>
      </c>
      <c r="M483" s="125" t="s">
        <v>183</v>
      </c>
      <c r="N483" s="126">
        <f>SUM(O483:BO483)</f>
        <v>500</v>
      </c>
      <c r="O483" s="127"/>
      <c r="P483" s="127">
        <v>400</v>
      </c>
      <c r="Q483" s="127"/>
      <c r="R483" s="127"/>
      <c r="S483" s="127"/>
      <c r="T483" s="127">
        <v>0</v>
      </c>
      <c r="U483" s="127"/>
      <c r="V483" s="127"/>
      <c r="W483" s="127">
        <v>100</v>
      </c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27">
        <v>0</v>
      </c>
      <c r="AH483" s="127"/>
      <c r="AI483" s="127"/>
      <c r="AJ483" s="127"/>
      <c r="AK483" s="127">
        <v>0</v>
      </c>
      <c r="AL483" s="127"/>
      <c r="AM483" s="127"/>
      <c r="AN483" s="127"/>
      <c r="AO483" s="127">
        <v>0</v>
      </c>
      <c r="AP483" s="127"/>
      <c r="AQ483" s="127"/>
      <c r="AR483" s="127"/>
      <c r="AS483" s="127"/>
      <c r="AT483" s="127">
        <v>0</v>
      </c>
      <c r="AU483" s="127"/>
      <c r="AV483" s="127"/>
      <c r="AW483" s="127"/>
      <c r="AX483" s="127">
        <v>0</v>
      </c>
      <c r="AY483" s="127"/>
      <c r="AZ483" s="127"/>
      <c r="BA483" s="127"/>
      <c r="BB483" s="127">
        <v>0</v>
      </c>
      <c r="BC483" s="127"/>
      <c r="BD483" s="127"/>
      <c r="BE483" s="127"/>
      <c r="BF483" s="127"/>
      <c r="BG483" s="127">
        <v>0</v>
      </c>
      <c r="BH483" s="127"/>
      <c r="BI483" s="127"/>
      <c r="BJ483" s="127"/>
      <c r="BK483" s="127">
        <v>0</v>
      </c>
      <c r="BL483" s="127"/>
      <c r="BM483" s="127"/>
      <c r="BN483" s="127"/>
      <c r="BO483" s="127"/>
      <c r="BP483" s="127" t="s">
        <v>825</v>
      </c>
      <c r="BQ483" s="127" t="s">
        <v>650</v>
      </c>
      <c r="BR483" s="127" t="s">
        <v>826</v>
      </c>
      <c r="BS483" s="127" t="s">
        <v>827</v>
      </c>
      <c r="BT483" s="127" t="s">
        <v>303</v>
      </c>
      <c r="BU483" s="127" t="s">
        <v>189</v>
      </c>
      <c r="BV483" s="127" t="s">
        <v>205</v>
      </c>
      <c r="BW483" s="127" t="s">
        <v>191</v>
      </c>
      <c r="BX483" s="127" t="s">
        <v>828</v>
      </c>
      <c r="BY483" s="127" t="s">
        <v>829</v>
      </c>
      <c r="BZ483" s="128" t="s">
        <v>830</v>
      </c>
    </row>
    <row r="484" spans="2:78" s="121" customFormat="1" outlineLevel="2">
      <c r="B484" s="121" t="s">
        <v>1426</v>
      </c>
      <c r="C484" s="121" t="s">
        <v>1863</v>
      </c>
      <c r="D484" s="145" t="s">
        <v>198</v>
      </c>
      <c r="F484" s="149" t="s">
        <v>178</v>
      </c>
      <c r="H484" s="124" t="s">
        <v>1893</v>
      </c>
      <c r="I484" s="124"/>
      <c r="J484" s="124"/>
      <c r="K484" s="124" t="s">
        <v>1876</v>
      </c>
      <c r="L484" s="124" t="s">
        <v>648</v>
      </c>
      <c r="M484" s="125" t="s">
        <v>183</v>
      </c>
      <c r="N484" s="126">
        <f t="shared" si="71"/>
        <v>722</v>
      </c>
      <c r="O484" s="127">
        <v>0</v>
      </c>
      <c r="P484" s="127"/>
      <c r="Q484" s="127"/>
      <c r="R484" s="127"/>
      <c r="S484" s="127"/>
      <c r="T484" s="127">
        <v>0</v>
      </c>
      <c r="U484" s="127"/>
      <c r="V484" s="127"/>
      <c r="W484" s="127"/>
      <c r="X484" s="127">
        <v>722</v>
      </c>
      <c r="Y484" s="127"/>
      <c r="Z484" s="127"/>
      <c r="AA484" s="127"/>
      <c r="AB484" s="127">
        <v>0</v>
      </c>
      <c r="AC484" s="127"/>
      <c r="AD484" s="127"/>
      <c r="AE484" s="127"/>
      <c r="AF484" s="127"/>
      <c r="AG484" s="127">
        <v>0</v>
      </c>
      <c r="AH484" s="127"/>
      <c r="AI484" s="127"/>
      <c r="AJ484" s="127"/>
      <c r="AK484" s="127">
        <v>0</v>
      </c>
      <c r="AL484" s="127"/>
      <c r="AM484" s="127"/>
      <c r="AN484" s="127"/>
      <c r="AO484" s="127">
        <v>0</v>
      </c>
      <c r="AP484" s="127"/>
      <c r="AQ484" s="127"/>
      <c r="AR484" s="127"/>
      <c r="AS484" s="127"/>
      <c r="AT484" s="127">
        <v>0</v>
      </c>
      <c r="AU484" s="127"/>
      <c r="AV484" s="127"/>
      <c r="AW484" s="127"/>
      <c r="AX484" s="127">
        <v>0</v>
      </c>
      <c r="AY484" s="127"/>
      <c r="AZ484" s="127"/>
      <c r="BA484" s="127"/>
      <c r="BB484" s="127">
        <v>0</v>
      </c>
      <c r="BC484" s="127"/>
      <c r="BD484" s="127"/>
      <c r="BE484" s="127"/>
      <c r="BF484" s="127"/>
      <c r="BG484" s="127">
        <v>0</v>
      </c>
      <c r="BH484" s="127"/>
      <c r="BI484" s="127"/>
      <c r="BJ484" s="127"/>
      <c r="BK484" s="127">
        <v>0</v>
      </c>
      <c r="BL484" s="127"/>
      <c r="BM484" s="127"/>
      <c r="BN484" s="127"/>
      <c r="BO484" s="127"/>
      <c r="BP484" s="127" t="s">
        <v>1894</v>
      </c>
      <c r="BQ484" s="127" t="s">
        <v>786</v>
      </c>
      <c r="BR484" s="127" t="s">
        <v>1873</v>
      </c>
      <c r="BS484" s="127" t="s">
        <v>1874</v>
      </c>
      <c r="BT484" s="127" t="s">
        <v>188</v>
      </c>
      <c r="BU484" s="127" t="s">
        <v>189</v>
      </c>
      <c r="BV484" s="127" t="s">
        <v>205</v>
      </c>
      <c r="BW484" s="127" t="s">
        <v>343</v>
      </c>
      <c r="BX484" s="127" t="s">
        <v>835</v>
      </c>
      <c r="BY484" s="127" t="s">
        <v>189</v>
      </c>
      <c r="BZ484" s="127" t="s">
        <v>1895</v>
      </c>
    </row>
    <row r="485" spans="2:78" s="121" customFormat="1" outlineLevel="2">
      <c r="B485" s="121" t="s">
        <v>1426</v>
      </c>
      <c r="C485" s="121" t="s">
        <v>1863</v>
      </c>
      <c r="D485" s="145" t="s">
        <v>198</v>
      </c>
      <c r="F485" s="149" t="s">
        <v>178</v>
      </c>
      <c r="G485" s="107" t="s">
        <v>199</v>
      </c>
      <c r="H485" s="124" t="s">
        <v>841</v>
      </c>
      <c r="I485" s="124"/>
      <c r="J485" s="124"/>
      <c r="K485" s="124" t="s">
        <v>1896</v>
      </c>
      <c r="L485" s="124" t="s">
        <v>648</v>
      </c>
      <c r="M485" s="125" t="s">
        <v>183</v>
      </c>
      <c r="N485" s="126">
        <f t="shared" si="71"/>
        <v>200</v>
      </c>
      <c r="O485" s="127"/>
      <c r="P485" s="127"/>
      <c r="Q485" s="127"/>
      <c r="R485" s="127"/>
      <c r="S485" s="127"/>
      <c r="T485" s="127">
        <v>0</v>
      </c>
      <c r="U485" s="127"/>
      <c r="V485" s="127"/>
      <c r="W485" s="127"/>
      <c r="X485" s="130">
        <v>200</v>
      </c>
      <c r="Y485" s="127"/>
      <c r="Z485" s="127"/>
      <c r="AA485" s="127"/>
      <c r="AB485" s="127">
        <v>0</v>
      </c>
      <c r="AC485" s="127"/>
      <c r="AD485" s="127"/>
      <c r="AE485" s="127"/>
      <c r="AF485" s="127"/>
      <c r="AG485" s="127">
        <v>0</v>
      </c>
      <c r="AH485" s="127"/>
      <c r="AI485" s="127"/>
      <c r="AJ485" s="127"/>
      <c r="AK485" s="127">
        <v>0</v>
      </c>
      <c r="AL485" s="127"/>
      <c r="AM485" s="127"/>
      <c r="AN485" s="127"/>
      <c r="AO485" s="127">
        <v>0</v>
      </c>
      <c r="AP485" s="127"/>
      <c r="AQ485" s="127"/>
      <c r="AR485" s="127"/>
      <c r="AS485" s="127"/>
      <c r="AT485" s="127">
        <v>0</v>
      </c>
      <c r="AU485" s="127"/>
      <c r="AV485" s="127"/>
      <c r="AW485" s="127"/>
      <c r="AX485" s="127">
        <v>0</v>
      </c>
      <c r="AY485" s="127"/>
      <c r="AZ485" s="127"/>
      <c r="BA485" s="127"/>
      <c r="BB485" s="127">
        <v>0</v>
      </c>
      <c r="BC485" s="127"/>
      <c r="BD485" s="127"/>
      <c r="BE485" s="127"/>
      <c r="BF485" s="127"/>
      <c r="BG485" s="127">
        <v>0</v>
      </c>
      <c r="BH485" s="127"/>
      <c r="BI485" s="127"/>
      <c r="BJ485" s="127"/>
      <c r="BK485" s="127">
        <v>0</v>
      </c>
      <c r="BL485" s="127"/>
      <c r="BM485" s="127"/>
      <c r="BN485" s="127"/>
      <c r="BO485" s="127"/>
      <c r="BP485" s="127" t="s">
        <v>842</v>
      </c>
      <c r="BQ485" s="127" t="s">
        <v>741</v>
      </c>
      <c r="BR485" s="127" t="s">
        <v>843</v>
      </c>
      <c r="BS485" s="127" t="s">
        <v>844</v>
      </c>
      <c r="BT485" s="127" t="s">
        <v>188</v>
      </c>
      <c r="BU485" s="127" t="s">
        <v>189</v>
      </c>
      <c r="BV485" s="127" t="s">
        <v>205</v>
      </c>
      <c r="BW485" s="127" t="s">
        <v>343</v>
      </c>
      <c r="BX485" s="127" t="s">
        <v>189</v>
      </c>
      <c r="BY485" s="127" t="s">
        <v>189</v>
      </c>
      <c r="BZ485" s="127" t="s">
        <v>189</v>
      </c>
    </row>
    <row r="486" spans="2:78" s="121" customFormat="1" outlineLevel="2">
      <c r="B486" s="121" t="s">
        <v>1426</v>
      </c>
      <c r="C486" s="121" t="s">
        <v>1863</v>
      </c>
      <c r="D486" s="145" t="s">
        <v>1440</v>
      </c>
      <c r="F486" s="149" t="s">
        <v>178</v>
      </c>
      <c r="G486" s="107" t="s">
        <v>199</v>
      </c>
      <c r="H486" s="124" t="s">
        <v>841</v>
      </c>
      <c r="I486" s="124"/>
      <c r="J486" s="124"/>
      <c r="K486" s="124" t="s">
        <v>1896</v>
      </c>
      <c r="L486" s="124" t="s">
        <v>648</v>
      </c>
      <c r="M486" s="125" t="s">
        <v>183</v>
      </c>
      <c r="N486" s="126">
        <f>SUM(O486:BO486)</f>
        <v>200</v>
      </c>
      <c r="O486" s="127"/>
      <c r="P486" s="127"/>
      <c r="Q486" s="127"/>
      <c r="R486" s="127"/>
      <c r="S486" s="127"/>
      <c r="T486" s="127">
        <v>0</v>
      </c>
      <c r="U486" s="127"/>
      <c r="V486" s="127"/>
      <c r="W486" s="127"/>
      <c r="X486" s="130">
        <v>200</v>
      </c>
      <c r="Y486" s="127"/>
      <c r="Z486" s="127"/>
      <c r="AA486" s="127"/>
      <c r="AB486" s="127">
        <v>0</v>
      </c>
      <c r="AC486" s="127"/>
      <c r="AD486" s="127"/>
      <c r="AE486" s="127"/>
      <c r="AF486" s="127"/>
      <c r="AG486" s="127">
        <v>0</v>
      </c>
      <c r="AH486" s="127"/>
      <c r="AI486" s="127"/>
      <c r="AJ486" s="127"/>
      <c r="AK486" s="127">
        <v>0</v>
      </c>
      <c r="AL486" s="127"/>
      <c r="AM486" s="127"/>
      <c r="AN486" s="127"/>
      <c r="AO486" s="127">
        <v>0</v>
      </c>
      <c r="AP486" s="127"/>
      <c r="AQ486" s="127"/>
      <c r="AR486" s="127"/>
      <c r="AS486" s="127"/>
      <c r="AT486" s="127">
        <v>0</v>
      </c>
      <c r="AU486" s="127"/>
      <c r="AV486" s="127"/>
      <c r="AW486" s="127"/>
      <c r="AX486" s="127">
        <v>0</v>
      </c>
      <c r="AY486" s="127"/>
      <c r="AZ486" s="127"/>
      <c r="BA486" s="127"/>
      <c r="BB486" s="127">
        <v>0</v>
      </c>
      <c r="BC486" s="127"/>
      <c r="BD486" s="127"/>
      <c r="BE486" s="127"/>
      <c r="BF486" s="127"/>
      <c r="BG486" s="127">
        <v>0</v>
      </c>
      <c r="BH486" s="127"/>
      <c r="BI486" s="127"/>
      <c r="BJ486" s="127"/>
      <c r="BK486" s="127">
        <v>0</v>
      </c>
      <c r="BL486" s="127"/>
      <c r="BM486" s="127"/>
      <c r="BN486" s="127"/>
      <c r="BO486" s="127"/>
      <c r="BP486" s="127" t="s">
        <v>842</v>
      </c>
      <c r="BQ486" s="127" t="s">
        <v>741</v>
      </c>
      <c r="BR486" s="127" t="s">
        <v>843</v>
      </c>
      <c r="BS486" s="127" t="s">
        <v>844</v>
      </c>
      <c r="BT486" s="127" t="s">
        <v>188</v>
      </c>
      <c r="BU486" s="127" t="s">
        <v>189</v>
      </c>
      <c r="BV486" s="127" t="s">
        <v>205</v>
      </c>
      <c r="BW486" s="127" t="s">
        <v>343</v>
      </c>
      <c r="BX486" s="127" t="s">
        <v>189</v>
      </c>
      <c r="BY486" s="127" t="s">
        <v>189</v>
      </c>
      <c r="BZ486" s="127" t="s">
        <v>189</v>
      </c>
    </row>
    <row r="487" spans="2:78" s="121" customFormat="1" outlineLevel="2">
      <c r="B487" s="107" t="s">
        <v>1426</v>
      </c>
      <c r="C487" s="107" t="s">
        <v>1863</v>
      </c>
      <c r="D487" s="145" t="s">
        <v>198</v>
      </c>
      <c r="F487" s="107" t="s">
        <v>178</v>
      </c>
      <c r="H487" s="124" t="s">
        <v>845</v>
      </c>
      <c r="I487" s="124"/>
      <c r="J487" s="124"/>
      <c r="K487" s="124" t="s">
        <v>1897</v>
      </c>
      <c r="L487" s="124" t="s">
        <v>648</v>
      </c>
      <c r="M487" s="125" t="s">
        <v>183</v>
      </c>
      <c r="N487" s="126">
        <f>SUM(O487:BO487)</f>
        <v>1000</v>
      </c>
      <c r="O487" s="127">
        <v>0</v>
      </c>
      <c r="P487" s="127"/>
      <c r="Q487" s="127"/>
      <c r="R487" s="127"/>
      <c r="S487" s="127"/>
      <c r="T487" s="127">
        <v>0</v>
      </c>
      <c r="U487" s="127"/>
      <c r="V487" s="127"/>
      <c r="W487" s="127"/>
      <c r="X487" s="127">
        <v>1000</v>
      </c>
      <c r="Y487" s="127"/>
      <c r="Z487" s="127"/>
      <c r="AA487" s="127"/>
      <c r="AB487" s="127">
        <v>0</v>
      </c>
      <c r="AC487" s="127"/>
      <c r="AD487" s="127"/>
      <c r="AE487" s="127"/>
      <c r="AF487" s="127"/>
      <c r="AG487" s="127">
        <v>0</v>
      </c>
      <c r="AH487" s="127"/>
      <c r="AI487" s="127"/>
      <c r="AJ487" s="127"/>
      <c r="AK487" s="127">
        <v>0</v>
      </c>
      <c r="AL487" s="127"/>
      <c r="AM487" s="127"/>
      <c r="AN487" s="127"/>
      <c r="AO487" s="127">
        <v>0</v>
      </c>
      <c r="AP487" s="127"/>
      <c r="AQ487" s="127"/>
      <c r="AR487" s="127"/>
      <c r="AS487" s="127"/>
      <c r="AT487" s="127">
        <v>0</v>
      </c>
      <c r="AU487" s="127"/>
      <c r="AV487" s="127"/>
      <c r="AW487" s="127"/>
      <c r="AX487" s="127">
        <v>0</v>
      </c>
      <c r="AY487" s="127"/>
      <c r="AZ487" s="127"/>
      <c r="BA487" s="127"/>
      <c r="BB487" s="127">
        <v>0</v>
      </c>
      <c r="BC487" s="127"/>
      <c r="BD487" s="127"/>
      <c r="BE487" s="127"/>
      <c r="BF487" s="127"/>
      <c r="BG487" s="127">
        <v>0</v>
      </c>
      <c r="BH487" s="127"/>
      <c r="BI487" s="127"/>
      <c r="BJ487" s="127"/>
      <c r="BK487" s="127">
        <v>0</v>
      </c>
      <c r="BL487" s="127"/>
      <c r="BM487" s="127"/>
      <c r="BN487" s="127"/>
      <c r="BO487" s="127"/>
      <c r="BP487" s="127" t="s">
        <v>846</v>
      </c>
      <c r="BQ487" s="127" t="s">
        <v>786</v>
      </c>
      <c r="BR487" s="127" t="s">
        <v>847</v>
      </c>
      <c r="BS487" s="127" t="s">
        <v>848</v>
      </c>
      <c r="BT487" s="127" t="s">
        <v>303</v>
      </c>
      <c r="BU487" s="127" t="s">
        <v>189</v>
      </c>
      <c r="BV487" s="127" t="s">
        <v>205</v>
      </c>
      <c r="BW487" s="127" t="s">
        <v>191</v>
      </c>
      <c r="BX487" s="127" t="s">
        <v>840</v>
      </c>
      <c r="BY487" s="127" t="s">
        <v>189</v>
      </c>
      <c r="BZ487" s="127" t="s">
        <v>789</v>
      </c>
    </row>
    <row r="488" spans="2:78" s="121" customFormat="1" outlineLevel="2">
      <c r="B488" s="107" t="s">
        <v>1426</v>
      </c>
      <c r="C488" s="107" t="s">
        <v>1863</v>
      </c>
      <c r="D488" s="145" t="s">
        <v>198</v>
      </c>
      <c r="F488" s="107" t="s">
        <v>178</v>
      </c>
      <c r="H488" s="122" t="s">
        <v>831</v>
      </c>
      <c r="I488" s="124"/>
      <c r="J488" s="124"/>
      <c r="K488" s="124" t="s">
        <v>1867</v>
      </c>
      <c r="L488" s="124" t="s">
        <v>648</v>
      </c>
      <c r="M488" s="125" t="s">
        <v>183</v>
      </c>
      <c r="N488" s="126">
        <f>SUM(O488:BO488)</f>
        <v>700</v>
      </c>
      <c r="O488" s="127">
        <v>0</v>
      </c>
      <c r="P488" s="127"/>
      <c r="Q488" s="127"/>
      <c r="R488" s="127"/>
      <c r="S488" s="127"/>
      <c r="T488" s="127">
        <v>0</v>
      </c>
      <c r="U488" s="127"/>
      <c r="V488" s="127"/>
      <c r="W488" s="127"/>
      <c r="X488" s="127"/>
      <c r="Y488" s="127"/>
      <c r="Z488" s="127"/>
      <c r="AA488" s="127"/>
      <c r="AB488" s="127">
        <v>0</v>
      </c>
      <c r="AC488" s="127"/>
      <c r="AD488" s="127">
        <v>700</v>
      </c>
      <c r="AE488" s="127"/>
      <c r="AF488" s="127"/>
      <c r="AG488" s="127">
        <v>0</v>
      </c>
      <c r="AH488" s="127"/>
      <c r="AI488" s="127"/>
      <c r="AJ488" s="127"/>
      <c r="AK488" s="127">
        <v>0</v>
      </c>
      <c r="AL488" s="127"/>
      <c r="AM488" s="127"/>
      <c r="AN488" s="127"/>
      <c r="AO488" s="127">
        <v>0</v>
      </c>
      <c r="AP488" s="127"/>
      <c r="AQ488" s="127"/>
      <c r="AR488" s="127"/>
      <c r="AS488" s="127"/>
      <c r="AT488" s="127">
        <v>0</v>
      </c>
      <c r="AU488" s="127"/>
      <c r="AV488" s="127"/>
      <c r="AW488" s="127"/>
      <c r="AX488" s="127">
        <v>0</v>
      </c>
      <c r="AY488" s="127"/>
      <c r="AZ488" s="127"/>
      <c r="BA488" s="127"/>
      <c r="BB488" s="127">
        <v>0</v>
      </c>
      <c r="BC488" s="127"/>
      <c r="BD488" s="127"/>
      <c r="BE488" s="127"/>
      <c r="BF488" s="127"/>
      <c r="BG488" s="127">
        <v>0</v>
      </c>
      <c r="BH488" s="127"/>
      <c r="BI488" s="127"/>
      <c r="BJ488" s="127"/>
      <c r="BK488" s="127">
        <v>0</v>
      </c>
      <c r="BL488" s="127"/>
      <c r="BM488" s="127"/>
      <c r="BN488" s="127"/>
      <c r="BO488" s="127"/>
      <c r="BP488" s="127" t="s">
        <v>832</v>
      </c>
      <c r="BQ488" s="127" t="s">
        <v>650</v>
      </c>
      <c r="BR488" s="127" t="s">
        <v>833</v>
      </c>
      <c r="BS488" s="127" t="s">
        <v>834</v>
      </c>
      <c r="BT488" s="127" t="s">
        <v>188</v>
      </c>
      <c r="BU488" s="127" t="s">
        <v>189</v>
      </c>
      <c r="BV488" s="127" t="s">
        <v>229</v>
      </c>
      <c r="BW488" s="127" t="s">
        <v>343</v>
      </c>
      <c r="BX488" s="127" t="s">
        <v>835</v>
      </c>
      <c r="BY488" s="127" t="s">
        <v>189</v>
      </c>
      <c r="BZ488" s="128" t="s">
        <v>680</v>
      </c>
    </row>
    <row r="489" spans="2:78" s="121" customFormat="1" outlineLevel="2">
      <c r="B489" s="107" t="s">
        <v>1426</v>
      </c>
      <c r="C489" s="107" t="s">
        <v>1863</v>
      </c>
      <c r="D489" s="145" t="s">
        <v>1440</v>
      </c>
      <c r="F489" s="107" t="s">
        <v>178</v>
      </c>
      <c r="H489" s="122" t="s">
        <v>831</v>
      </c>
      <c r="I489" s="124"/>
      <c r="J489" s="124"/>
      <c r="K489" s="124" t="s">
        <v>1867</v>
      </c>
      <c r="L489" s="124" t="s">
        <v>648</v>
      </c>
      <c r="M489" s="125" t="s">
        <v>183</v>
      </c>
      <c r="N489" s="126">
        <f>SUM(O489:BO489)</f>
        <v>100</v>
      </c>
      <c r="O489" s="127">
        <v>0</v>
      </c>
      <c r="P489" s="127"/>
      <c r="Q489" s="127"/>
      <c r="R489" s="127"/>
      <c r="S489" s="127"/>
      <c r="T489" s="127">
        <v>0</v>
      </c>
      <c r="U489" s="127"/>
      <c r="V489" s="127"/>
      <c r="W489" s="127"/>
      <c r="X489" s="127"/>
      <c r="Y489" s="127"/>
      <c r="Z489" s="127"/>
      <c r="AA489" s="127"/>
      <c r="AB489" s="127">
        <v>0</v>
      </c>
      <c r="AC489" s="127"/>
      <c r="AD489" s="127">
        <v>100</v>
      </c>
      <c r="AE489" s="127"/>
      <c r="AF489" s="127"/>
      <c r="AG489" s="127">
        <v>0</v>
      </c>
      <c r="AH489" s="127"/>
      <c r="AI489" s="127"/>
      <c r="AJ489" s="127"/>
      <c r="AK489" s="127">
        <v>0</v>
      </c>
      <c r="AL489" s="127"/>
      <c r="AM489" s="127"/>
      <c r="AN489" s="127"/>
      <c r="AO489" s="127">
        <v>0</v>
      </c>
      <c r="AP489" s="127"/>
      <c r="AQ489" s="127"/>
      <c r="AR489" s="127"/>
      <c r="AS489" s="127"/>
      <c r="AT489" s="127">
        <v>0</v>
      </c>
      <c r="AU489" s="127"/>
      <c r="AV489" s="127"/>
      <c r="AW489" s="127"/>
      <c r="AX489" s="127">
        <v>0</v>
      </c>
      <c r="AY489" s="127"/>
      <c r="AZ489" s="127"/>
      <c r="BA489" s="127"/>
      <c r="BB489" s="127">
        <v>0</v>
      </c>
      <c r="BC489" s="127"/>
      <c r="BD489" s="127"/>
      <c r="BE489" s="127"/>
      <c r="BF489" s="127"/>
      <c r="BG489" s="127">
        <v>0</v>
      </c>
      <c r="BH489" s="127"/>
      <c r="BI489" s="127"/>
      <c r="BJ489" s="127"/>
      <c r="BK489" s="127">
        <v>0</v>
      </c>
      <c r="BL489" s="127"/>
      <c r="BM489" s="127"/>
      <c r="BN489" s="127"/>
      <c r="BO489" s="127"/>
      <c r="BP489" s="127" t="s">
        <v>832</v>
      </c>
      <c r="BQ489" s="127" t="s">
        <v>650</v>
      </c>
      <c r="BR489" s="127" t="s">
        <v>833</v>
      </c>
      <c r="BS489" s="127" t="s">
        <v>834</v>
      </c>
      <c r="BT489" s="127" t="s">
        <v>188</v>
      </c>
      <c r="BU489" s="127" t="s">
        <v>189</v>
      </c>
      <c r="BV489" s="127" t="s">
        <v>229</v>
      </c>
      <c r="BW489" s="127" t="s">
        <v>343</v>
      </c>
      <c r="BX489" s="127" t="s">
        <v>835</v>
      </c>
      <c r="BY489" s="127" t="s">
        <v>189</v>
      </c>
      <c r="BZ489" s="128" t="s">
        <v>680</v>
      </c>
    </row>
    <row r="490" spans="2:78" s="121" customFormat="1" outlineLevel="2">
      <c r="B490" s="121" t="s">
        <v>1426</v>
      </c>
      <c r="C490" s="121" t="s">
        <v>1863</v>
      </c>
      <c r="D490" s="145" t="s">
        <v>198</v>
      </c>
      <c r="F490" s="149" t="s">
        <v>178</v>
      </c>
      <c r="H490" s="124" t="s">
        <v>1898</v>
      </c>
      <c r="I490" s="124"/>
      <c r="J490" s="124"/>
      <c r="K490" s="124" t="s">
        <v>1899</v>
      </c>
      <c r="L490" s="124" t="s">
        <v>648</v>
      </c>
      <c r="M490" s="125" t="s">
        <v>183</v>
      </c>
      <c r="N490" s="126">
        <f t="shared" si="71"/>
        <v>483</v>
      </c>
      <c r="O490" s="127">
        <v>0</v>
      </c>
      <c r="P490" s="127"/>
      <c r="Q490" s="127"/>
      <c r="R490" s="127"/>
      <c r="S490" s="127"/>
      <c r="T490" s="127">
        <v>0</v>
      </c>
      <c r="U490" s="127"/>
      <c r="V490" s="127"/>
      <c r="W490" s="127"/>
      <c r="X490" s="127">
        <v>0</v>
      </c>
      <c r="Y490" s="127"/>
      <c r="Z490" s="127"/>
      <c r="AA490" s="127"/>
      <c r="AB490" s="127">
        <v>0</v>
      </c>
      <c r="AC490" s="127"/>
      <c r="AD490" s="127"/>
      <c r="AE490" s="127"/>
      <c r="AF490" s="127"/>
      <c r="AG490" s="127">
        <v>0</v>
      </c>
      <c r="AH490" s="127"/>
      <c r="AI490" s="127"/>
      <c r="AJ490" s="127"/>
      <c r="AK490" s="127">
        <v>0</v>
      </c>
      <c r="AL490" s="127"/>
      <c r="AM490" s="127"/>
      <c r="AN490" s="127"/>
      <c r="AO490" s="127">
        <v>0</v>
      </c>
      <c r="AP490" s="127"/>
      <c r="AQ490" s="127"/>
      <c r="AR490" s="127"/>
      <c r="AS490" s="127"/>
      <c r="AT490" s="127">
        <v>0</v>
      </c>
      <c r="AU490" s="127"/>
      <c r="AV490" s="127"/>
      <c r="AW490" s="127"/>
      <c r="AX490" s="127">
        <v>483</v>
      </c>
      <c r="AY490" s="127"/>
      <c r="AZ490" s="127"/>
      <c r="BA490" s="127"/>
      <c r="BB490" s="127">
        <v>0</v>
      </c>
      <c r="BC490" s="127"/>
      <c r="BD490" s="127"/>
      <c r="BE490" s="127"/>
      <c r="BF490" s="127"/>
      <c r="BG490" s="127">
        <v>0</v>
      </c>
      <c r="BH490" s="127"/>
      <c r="BI490" s="127"/>
      <c r="BJ490" s="127"/>
      <c r="BK490" s="127">
        <v>0</v>
      </c>
      <c r="BL490" s="127"/>
      <c r="BM490" s="127"/>
      <c r="BN490" s="127"/>
      <c r="BO490" s="127"/>
      <c r="BP490" s="127" t="s">
        <v>1900</v>
      </c>
      <c r="BQ490" s="127" t="s">
        <v>340</v>
      </c>
      <c r="BR490" s="127" t="s">
        <v>1901</v>
      </c>
      <c r="BS490" s="127" t="s">
        <v>1902</v>
      </c>
      <c r="BT490" s="127" t="s">
        <v>188</v>
      </c>
      <c r="BU490" s="127" t="s">
        <v>189</v>
      </c>
      <c r="BV490" s="127" t="s">
        <v>205</v>
      </c>
      <c r="BW490" s="127" t="s">
        <v>343</v>
      </c>
      <c r="BX490" s="127" t="s">
        <v>639</v>
      </c>
      <c r="BY490" s="127" t="s">
        <v>189</v>
      </c>
      <c r="BZ490" s="128" t="s">
        <v>1903</v>
      </c>
    </row>
    <row r="491" spans="2:78" s="121" customFormat="1" ht="13.5" customHeight="1" outlineLevel="2">
      <c r="B491" s="121" t="s">
        <v>1426</v>
      </c>
      <c r="C491" s="121" t="s">
        <v>1863</v>
      </c>
      <c r="D491" s="145" t="s">
        <v>198</v>
      </c>
      <c r="F491" s="149" t="s">
        <v>178</v>
      </c>
      <c r="H491" s="124" t="s">
        <v>1904</v>
      </c>
      <c r="I491" s="124"/>
      <c r="J491" s="124"/>
      <c r="K491" s="124" t="s">
        <v>1905</v>
      </c>
      <c r="L491" s="124" t="s">
        <v>648</v>
      </c>
      <c r="M491" s="125" t="s">
        <v>183</v>
      </c>
      <c r="N491" s="126">
        <f t="shared" si="71"/>
        <v>426</v>
      </c>
      <c r="O491" s="127">
        <v>426</v>
      </c>
      <c r="P491" s="127"/>
      <c r="Q491" s="127"/>
      <c r="R491" s="127"/>
      <c r="S491" s="127"/>
      <c r="T491" s="127">
        <v>0</v>
      </c>
      <c r="U491" s="127"/>
      <c r="V491" s="127"/>
      <c r="W491" s="127"/>
      <c r="X491" s="127">
        <v>0</v>
      </c>
      <c r="Y491" s="127"/>
      <c r="Z491" s="127"/>
      <c r="AA491" s="127"/>
      <c r="AB491" s="127">
        <v>0</v>
      </c>
      <c r="AC491" s="127"/>
      <c r="AD491" s="127"/>
      <c r="AE491" s="127"/>
      <c r="AF491" s="127"/>
      <c r="AG491" s="127">
        <v>0</v>
      </c>
      <c r="AH491" s="127"/>
      <c r="AI491" s="127"/>
      <c r="AJ491" s="127"/>
      <c r="AK491" s="127">
        <v>0</v>
      </c>
      <c r="AL491" s="127"/>
      <c r="AM491" s="127"/>
      <c r="AN491" s="127"/>
      <c r="AO491" s="127">
        <v>0</v>
      </c>
      <c r="AP491" s="127"/>
      <c r="AQ491" s="127"/>
      <c r="AR491" s="127"/>
      <c r="AS491" s="127"/>
      <c r="AT491" s="127">
        <v>0</v>
      </c>
      <c r="AU491" s="127"/>
      <c r="AV491" s="127"/>
      <c r="AW491" s="127"/>
      <c r="AX491" s="127">
        <v>0</v>
      </c>
      <c r="AY491" s="127"/>
      <c r="AZ491" s="127"/>
      <c r="BA491" s="127"/>
      <c r="BB491" s="127">
        <v>0</v>
      </c>
      <c r="BC491" s="127"/>
      <c r="BD491" s="127"/>
      <c r="BE491" s="127"/>
      <c r="BF491" s="127"/>
      <c r="BG491" s="127">
        <v>0</v>
      </c>
      <c r="BH491" s="127"/>
      <c r="BI491" s="127"/>
      <c r="BJ491" s="127"/>
      <c r="BK491" s="127">
        <v>0</v>
      </c>
      <c r="BL491" s="127"/>
      <c r="BM491" s="127"/>
      <c r="BN491" s="127"/>
      <c r="BO491" s="127"/>
      <c r="BP491" s="127" t="s">
        <v>1906</v>
      </c>
      <c r="BQ491" s="127" t="s">
        <v>786</v>
      </c>
      <c r="BR491" s="127" t="s">
        <v>1907</v>
      </c>
      <c r="BS491" s="127" t="s">
        <v>1908</v>
      </c>
      <c r="BT491" s="127" t="s">
        <v>188</v>
      </c>
      <c r="BU491" s="127" t="s">
        <v>189</v>
      </c>
      <c r="BV491" s="127" t="s">
        <v>205</v>
      </c>
      <c r="BW491" s="127" t="s">
        <v>343</v>
      </c>
      <c r="BX491" s="127" t="s">
        <v>189</v>
      </c>
      <c r="BY491" s="127" t="s">
        <v>189</v>
      </c>
      <c r="BZ491" s="127" t="s">
        <v>789</v>
      </c>
    </row>
    <row r="492" spans="2:78" s="121" customFormat="1" outlineLevel="2">
      <c r="B492" s="121" t="s">
        <v>1426</v>
      </c>
      <c r="C492" s="121" t="s">
        <v>1863</v>
      </c>
      <c r="D492" s="107" t="s">
        <v>198</v>
      </c>
      <c r="F492" s="149" t="s">
        <v>178</v>
      </c>
      <c r="H492" s="122" t="s">
        <v>646</v>
      </c>
      <c r="I492" s="124"/>
      <c r="J492" s="124"/>
      <c r="K492" s="124" t="s">
        <v>647</v>
      </c>
      <c r="L492" s="124" t="s">
        <v>648</v>
      </c>
      <c r="M492" s="125" t="s">
        <v>183</v>
      </c>
      <c r="N492" s="126">
        <f t="shared" si="71"/>
        <v>2950</v>
      </c>
      <c r="O492" s="127">
        <v>600</v>
      </c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>
        <v>1000</v>
      </c>
      <c r="AB492" s="127"/>
      <c r="AC492" s="127"/>
      <c r="AD492" s="127"/>
      <c r="AE492" s="127"/>
      <c r="AF492" s="127"/>
      <c r="AG492" s="127"/>
      <c r="AH492" s="127"/>
      <c r="AI492" s="127"/>
      <c r="AJ492" s="127"/>
      <c r="AK492" s="127"/>
      <c r="AL492" s="127"/>
      <c r="AM492" s="127"/>
      <c r="AN492" s="127"/>
      <c r="AO492" s="127"/>
      <c r="AP492" s="127"/>
      <c r="AQ492" s="127"/>
      <c r="AR492" s="127"/>
      <c r="AS492" s="127"/>
      <c r="AT492" s="127"/>
      <c r="AU492" s="127"/>
      <c r="AV492" s="127"/>
      <c r="AW492" s="127"/>
      <c r="AX492" s="127">
        <v>1200</v>
      </c>
      <c r="AY492" s="127"/>
      <c r="AZ492" s="127"/>
      <c r="BA492" s="127"/>
      <c r="BB492" s="127">
        <v>150</v>
      </c>
      <c r="BC492" s="127"/>
      <c r="BD492" s="127"/>
      <c r="BE492" s="127"/>
      <c r="BF492" s="127"/>
      <c r="BG492" s="127"/>
      <c r="BH492" s="127"/>
      <c r="BI492" s="127"/>
      <c r="BJ492" s="127"/>
      <c r="BK492" s="127"/>
      <c r="BL492" s="127"/>
      <c r="BM492" s="127"/>
      <c r="BN492" s="127"/>
      <c r="BO492" s="127"/>
      <c r="BP492" s="127" t="s">
        <v>649</v>
      </c>
      <c r="BQ492" s="127" t="s">
        <v>650</v>
      </c>
      <c r="BR492" s="127" t="s">
        <v>393</v>
      </c>
      <c r="BS492" s="127" t="s">
        <v>651</v>
      </c>
      <c r="BT492" s="127" t="s">
        <v>303</v>
      </c>
      <c r="BU492" s="127" t="s">
        <v>189</v>
      </c>
      <c r="BV492" s="127" t="s">
        <v>188</v>
      </c>
      <c r="BW492" s="127" t="s">
        <v>191</v>
      </c>
      <c r="BX492" s="127" t="s">
        <v>652</v>
      </c>
      <c r="BY492" s="127" t="s">
        <v>653</v>
      </c>
      <c r="BZ492" s="128" t="s">
        <v>654</v>
      </c>
    </row>
    <row r="493" spans="2:78" s="121" customFormat="1" outlineLevel="2">
      <c r="B493" s="121" t="s">
        <v>1426</v>
      </c>
      <c r="C493" s="121" t="s">
        <v>1863</v>
      </c>
      <c r="D493" s="107" t="s">
        <v>198</v>
      </c>
      <c r="F493" s="107" t="s">
        <v>178</v>
      </c>
      <c r="G493" s="107" t="s">
        <v>199</v>
      </c>
      <c r="H493" s="122" t="s">
        <v>655</v>
      </c>
      <c r="I493" s="124"/>
      <c r="J493" s="124"/>
      <c r="K493" s="124" t="s">
        <v>1865</v>
      </c>
      <c r="L493" s="124" t="s">
        <v>648</v>
      </c>
      <c r="M493" s="125" t="s">
        <v>183</v>
      </c>
      <c r="N493" s="126">
        <f>SUM(O493:BO493)</f>
        <v>425</v>
      </c>
      <c r="O493" s="127"/>
      <c r="P493" s="127"/>
      <c r="Q493" s="127"/>
      <c r="R493" s="130">
        <v>425</v>
      </c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  <c r="AF493" s="127"/>
      <c r="AG493" s="127"/>
      <c r="AH493" s="127"/>
      <c r="AI493" s="127"/>
      <c r="AJ493" s="127"/>
      <c r="AK493" s="127"/>
      <c r="AL493" s="127"/>
      <c r="AM493" s="127"/>
      <c r="AN493" s="127"/>
      <c r="AO493" s="127"/>
      <c r="AP493" s="127"/>
      <c r="AQ493" s="127"/>
      <c r="AR493" s="127"/>
      <c r="AS493" s="127"/>
      <c r="AT493" s="127"/>
      <c r="AU493" s="127"/>
      <c r="AV493" s="127"/>
      <c r="AW493" s="127"/>
      <c r="AX493" s="127"/>
      <c r="AY493" s="127"/>
      <c r="AZ493" s="127"/>
      <c r="BA493" s="127"/>
      <c r="BB493" s="127"/>
      <c r="BC493" s="127"/>
      <c r="BD493" s="127"/>
      <c r="BE493" s="127"/>
      <c r="BF493" s="127"/>
      <c r="BG493" s="127"/>
      <c r="BH493" s="127"/>
      <c r="BI493" s="127"/>
      <c r="BJ493" s="127"/>
      <c r="BK493" s="127"/>
      <c r="BL493" s="127"/>
      <c r="BM493" s="127"/>
      <c r="BN493" s="127"/>
      <c r="BO493" s="127"/>
      <c r="BP493" s="127"/>
      <c r="BQ493" s="127"/>
      <c r="BR493" s="127"/>
      <c r="BS493" s="127"/>
      <c r="BT493" s="127"/>
      <c r="BU493" s="127"/>
      <c r="BV493" s="127"/>
      <c r="BW493" s="127"/>
      <c r="BX493" s="127"/>
      <c r="BY493" s="127"/>
      <c r="BZ493" s="128"/>
    </row>
    <row r="494" spans="2:78" s="121" customFormat="1" outlineLevel="2">
      <c r="B494" s="121" t="s">
        <v>1426</v>
      </c>
      <c r="C494" s="121" t="s">
        <v>1863</v>
      </c>
      <c r="D494" s="107" t="s">
        <v>198</v>
      </c>
      <c r="F494" s="107" t="s">
        <v>88</v>
      </c>
      <c r="G494" s="107" t="s">
        <v>199</v>
      </c>
      <c r="H494" s="122" t="s">
        <v>675</v>
      </c>
      <c r="I494" s="124"/>
      <c r="J494" s="124"/>
      <c r="K494" s="124" t="s">
        <v>676</v>
      </c>
      <c r="L494" s="124" t="s">
        <v>648</v>
      </c>
      <c r="M494" s="125" t="s">
        <v>183</v>
      </c>
      <c r="N494" s="126">
        <f>SUM(O494:BO494)</f>
        <v>600</v>
      </c>
      <c r="O494" s="127"/>
      <c r="P494" s="127"/>
      <c r="Q494" s="127"/>
      <c r="R494" s="127"/>
      <c r="S494" s="127"/>
      <c r="T494" s="127">
        <v>0</v>
      </c>
      <c r="U494" s="127"/>
      <c r="V494" s="127"/>
      <c r="W494" s="127"/>
      <c r="X494" s="127">
        <v>0</v>
      </c>
      <c r="Y494" s="127"/>
      <c r="Z494" s="127"/>
      <c r="AA494" s="127"/>
      <c r="AB494" s="127">
        <v>0</v>
      </c>
      <c r="AC494" s="127"/>
      <c r="AD494" s="127"/>
      <c r="AE494" s="127"/>
      <c r="AF494" s="127"/>
      <c r="AG494" s="127">
        <v>0</v>
      </c>
      <c r="AH494" s="127"/>
      <c r="AI494" s="127"/>
      <c r="AJ494" s="127"/>
      <c r="AK494" s="127">
        <v>0</v>
      </c>
      <c r="AL494" s="127"/>
      <c r="AM494" s="127"/>
      <c r="AN494" s="127"/>
      <c r="AO494" s="127">
        <v>0</v>
      </c>
      <c r="AP494" s="127"/>
      <c r="AQ494" s="127"/>
      <c r="AR494" s="127"/>
      <c r="AS494" s="127"/>
      <c r="AT494" s="127">
        <v>0</v>
      </c>
      <c r="AU494" s="127"/>
      <c r="AV494" s="127"/>
      <c r="AW494" s="127"/>
      <c r="AX494" s="127">
        <v>0</v>
      </c>
      <c r="AY494" s="127"/>
      <c r="AZ494" s="127"/>
      <c r="BA494" s="127"/>
      <c r="BB494" s="127">
        <v>0</v>
      </c>
      <c r="BC494" s="127"/>
      <c r="BD494" s="127"/>
      <c r="BE494" s="127"/>
      <c r="BF494" s="127"/>
      <c r="BG494" s="127">
        <v>0</v>
      </c>
      <c r="BH494" s="127"/>
      <c r="BI494" s="130">
        <v>600</v>
      </c>
      <c r="BJ494" s="127"/>
      <c r="BK494" s="127">
        <v>0</v>
      </c>
      <c r="BL494" s="127"/>
      <c r="BM494" s="127"/>
      <c r="BN494" s="127"/>
      <c r="BO494" s="127"/>
      <c r="BP494" s="127" t="s">
        <v>677</v>
      </c>
      <c r="BQ494" s="127" t="s">
        <v>650</v>
      </c>
      <c r="BR494" s="127" t="s">
        <v>678</v>
      </c>
      <c r="BS494" s="127" t="s">
        <v>679</v>
      </c>
      <c r="BT494" s="127" t="s">
        <v>188</v>
      </c>
      <c r="BU494" s="127" t="s">
        <v>189</v>
      </c>
      <c r="BV494" s="127" t="s">
        <v>229</v>
      </c>
      <c r="BW494" s="127" t="s">
        <v>343</v>
      </c>
      <c r="BX494" s="127" t="s">
        <v>189</v>
      </c>
      <c r="BY494" s="127" t="s">
        <v>189</v>
      </c>
      <c r="BZ494" s="127" t="s">
        <v>680</v>
      </c>
    </row>
    <row r="495" spans="2:78" ht="12.75" customHeight="1" outlineLevel="2">
      <c r="B495" s="102" t="s">
        <v>1426</v>
      </c>
      <c r="C495" s="129" t="s">
        <v>1863</v>
      </c>
      <c r="D495" s="129" t="s">
        <v>198</v>
      </c>
      <c r="E495" s="163"/>
      <c r="F495" s="149" t="s">
        <v>178</v>
      </c>
      <c r="G495" s="129"/>
      <c r="H495" s="166" t="s">
        <v>1909</v>
      </c>
      <c r="I495" s="163"/>
      <c r="J495" s="172"/>
      <c r="K495" s="172"/>
      <c r="L495" s="147" t="s">
        <v>648</v>
      </c>
      <c r="M495" s="125" t="s">
        <v>183</v>
      </c>
      <c r="N495" s="124">
        <f t="shared" si="71"/>
        <v>10000</v>
      </c>
      <c r="O495" s="127">
        <v>1400</v>
      </c>
      <c r="P495" s="127"/>
      <c r="Q495" s="127"/>
      <c r="R495" s="127"/>
      <c r="S495" s="127"/>
      <c r="T495" s="127">
        <v>1400</v>
      </c>
      <c r="U495" s="127"/>
      <c r="V495" s="127"/>
      <c r="W495" s="127"/>
      <c r="X495" s="127">
        <v>1400</v>
      </c>
      <c r="Y495" s="127"/>
      <c r="Z495" s="127"/>
      <c r="AA495" s="127"/>
      <c r="AB495" s="127">
        <v>1400</v>
      </c>
      <c r="AC495" s="127"/>
      <c r="AD495" s="127"/>
      <c r="AE495" s="127"/>
      <c r="AF495" s="127"/>
      <c r="AG495" s="127">
        <v>1400</v>
      </c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>
        <v>1000</v>
      </c>
      <c r="AY495" s="127"/>
      <c r="AZ495" s="127"/>
      <c r="BA495" s="127"/>
      <c r="BB495" s="127">
        <v>1000</v>
      </c>
      <c r="BC495" s="127"/>
      <c r="BD495" s="127"/>
      <c r="BE495" s="127"/>
      <c r="BF495" s="127"/>
      <c r="BG495" s="127">
        <v>1000</v>
      </c>
      <c r="BH495" s="127"/>
      <c r="BI495" s="127"/>
      <c r="BJ495" s="127"/>
      <c r="BK495" s="165"/>
      <c r="BL495" s="165"/>
      <c r="BM495" s="165"/>
      <c r="BN495" s="165"/>
      <c r="BO495" s="165"/>
      <c r="BP495" s="127" t="s">
        <v>1465</v>
      </c>
      <c r="BQ495" s="165"/>
      <c r="BR495" s="165"/>
      <c r="BS495" s="165"/>
      <c r="BT495" s="165"/>
      <c r="BU495" s="165"/>
      <c r="BV495" s="165"/>
      <c r="BW495" s="165"/>
      <c r="BX495" s="165"/>
      <c r="BY495" s="165"/>
      <c r="BZ495" s="165"/>
    </row>
    <row r="496" spans="2:78" s="139" customFormat="1" outlineLevel="1">
      <c r="C496" s="140" t="s">
        <v>1910</v>
      </c>
      <c r="H496" s="141"/>
      <c r="I496" s="141"/>
      <c r="J496" s="141"/>
      <c r="K496" s="141"/>
      <c r="L496" s="141"/>
      <c r="M496" s="142"/>
      <c r="N496" s="143">
        <f>SUBTOTAL(9,N475:N495)</f>
        <v>24859</v>
      </c>
      <c r="O496" s="144">
        <f>SUBTOTAL(9,O475:O495)</f>
        <v>2426</v>
      </c>
      <c r="P496" s="144">
        <f t="shared" ref="P496:BO496" si="72">SUBTOTAL(9,P475:P495)</f>
        <v>1300</v>
      </c>
      <c r="Q496" s="144">
        <f t="shared" si="72"/>
        <v>0</v>
      </c>
      <c r="R496" s="144">
        <f t="shared" si="72"/>
        <v>925</v>
      </c>
      <c r="S496" s="144">
        <f t="shared" si="72"/>
        <v>0</v>
      </c>
      <c r="T496" s="144">
        <f t="shared" si="72"/>
        <v>2500</v>
      </c>
      <c r="U496" s="144">
        <f t="shared" si="72"/>
        <v>0</v>
      </c>
      <c r="V496" s="144">
        <f t="shared" si="72"/>
        <v>0</v>
      </c>
      <c r="W496" s="144">
        <f t="shared" si="72"/>
        <v>800</v>
      </c>
      <c r="X496" s="144">
        <f t="shared" si="72"/>
        <v>4122</v>
      </c>
      <c r="Y496" s="144">
        <f t="shared" si="72"/>
        <v>0</v>
      </c>
      <c r="Z496" s="144">
        <f t="shared" si="72"/>
        <v>0</v>
      </c>
      <c r="AA496" s="144">
        <f t="shared" si="72"/>
        <v>1000</v>
      </c>
      <c r="AB496" s="144">
        <f t="shared" si="72"/>
        <v>1900</v>
      </c>
      <c r="AC496" s="144">
        <f t="shared" si="72"/>
        <v>0</v>
      </c>
      <c r="AD496" s="144">
        <f t="shared" si="72"/>
        <v>800</v>
      </c>
      <c r="AE496" s="144">
        <f t="shared" si="72"/>
        <v>0</v>
      </c>
      <c r="AF496" s="144">
        <f t="shared" si="72"/>
        <v>0</v>
      </c>
      <c r="AG496" s="144">
        <f t="shared" si="72"/>
        <v>1400</v>
      </c>
      <c r="AH496" s="144">
        <f t="shared" si="72"/>
        <v>0</v>
      </c>
      <c r="AI496" s="144">
        <f t="shared" si="72"/>
        <v>0</v>
      </c>
      <c r="AJ496" s="144">
        <f t="shared" si="72"/>
        <v>0</v>
      </c>
      <c r="AK496" s="144">
        <f t="shared" si="72"/>
        <v>0</v>
      </c>
      <c r="AL496" s="144">
        <f t="shared" si="72"/>
        <v>0</v>
      </c>
      <c r="AM496" s="144">
        <f t="shared" si="72"/>
        <v>0</v>
      </c>
      <c r="AN496" s="144">
        <f t="shared" si="72"/>
        <v>0</v>
      </c>
      <c r="AO496" s="144">
        <f t="shared" si="72"/>
        <v>0</v>
      </c>
      <c r="AP496" s="144">
        <f t="shared" si="72"/>
        <v>0</v>
      </c>
      <c r="AQ496" s="144">
        <f t="shared" si="72"/>
        <v>0</v>
      </c>
      <c r="AR496" s="144">
        <f t="shared" si="72"/>
        <v>0</v>
      </c>
      <c r="AS496" s="144">
        <f t="shared" si="72"/>
        <v>0</v>
      </c>
      <c r="AT496" s="144">
        <f t="shared" si="72"/>
        <v>0</v>
      </c>
      <c r="AU496" s="144">
        <f t="shared" si="72"/>
        <v>0</v>
      </c>
      <c r="AV496" s="144">
        <f t="shared" si="72"/>
        <v>0</v>
      </c>
      <c r="AW496" s="144">
        <f t="shared" si="72"/>
        <v>0</v>
      </c>
      <c r="AX496" s="144">
        <f t="shared" si="72"/>
        <v>2683</v>
      </c>
      <c r="AY496" s="144">
        <f t="shared" si="72"/>
        <v>0</v>
      </c>
      <c r="AZ496" s="144">
        <f t="shared" si="72"/>
        <v>0</v>
      </c>
      <c r="BA496" s="144">
        <f t="shared" si="72"/>
        <v>0</v>
      </c>
      <c r="BB496" s="144">
        <f t="shared" si="72"/>
        <v>3403</v>
      </c>
      <c r="BC496" s="144">
        <f t="shared" si="72"/>
        <v>0</v>
      </c>
      <c r="BD496" s="144">
        <f t="shared" si="72"/>
        <v>0</v>
      </c>
      <c r="BE496" s="144">
        <f t="shared" si="72"/>
        <v>0</v>
      </c>
      <c r="BF496" s="144">
        <f t="shared" si="72"/>
        <v>0</v>
      </c>
      <c r="BG496" s="144">
        <f t="shared" si="72"/>
        <v>1000</v>
      </c>
      <c r="BH496" s="144">
        <f t="shared" si="72"/>
        <v>0</v>
      </c>
      <c r="BI496" s="144">
        <f t="shared" si="72"/>
        <v>600</v>
      </c>
      <c r="BJ496" s="144">
        <f t="shared" si="72"/>
        <v>0</v>
      </c>
      <c r="BK496" s="144">
        <f t="shared" si="72"/>
        <v>0</v>
      </c>
      <c r="BL496" s="144">
        <f t="shared" si="72"/>
        <v>0</v>
      </c>
      <c r="BM496" s="144">
        <f t="shared" si="72"/>
        <v>0</v>
      </c>
      <c r="BN496" s="144">
        <f t="shared" si="72"/>
        <v>0</v>
      </c>
      <c r="BO496" s="144">
        <f t="shared" si="72"/>
        <v>0</v>
      </c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>
        <f>SUBTOTAL(9,BZ475:BZ491)</f>
        <v>0</v>
      </c>
    </row>
    <row r="497" spans="3:78" s="139" customFormat="1">
      <c r="C497" s="174" t="s">
        <v>1911</v>
      </c>
      <c r="H497" s="141"/>
      <c r="I497" s="141"/>
      <c r="J497" s="141"/>
      <c r="K497" s="141"/>
      <c r="L497" s="141"/>
      <c r="M497" s="142"/>
      <c r="N497" s="141">
        <f t="shared" ref="N497:BO497" si="73">SUBTOTAL(9,N3:N496)</f>
        <v>2820567</v>
      </c>
      <c r="O497" s="144">
        <f t="shared" si="73"/>
        <v>78060</v>
      </c>
      <c r="P497" s="144">
        <f t="shared" si="73"/>
        <v>52274</v>
      </c>
      <c r="Q497" s="144">
        <f t="shared" si="73"/>
        <v>46150</v>
      </c>
      <c r="R497" s="144">
        <f t="shared" si="73"/>
        <v>51575</v>
      </c>
      <c r="S497" s="144">
        <f t="shared" si="73"/>
        <v>40950</v>
      </c>
      <c r="T497" s="144">
        <f t="shared" si="73"/>
        <v>91506</v>
      </c>
      <c r="U497" s="144">
        <f t="shared" si="73"/>
        <v>63200</v>
      </c>
      <c r="V497" s="144">
        <f t="shared" si="73"/>
        <v>47150</v>
      </c>
      <c r="W497" s="144">
        <f t="shared" si="73"/>
        <v>62150</v>
      </c>
      <c r="X497" s="144">
        <f t="shared" si="73"/>
        <v>93526</v>
      </c>
      <c r="Y497" s="144">
        <f t="shared" si="73"/>
        <v>54895</v>
      </c>
      <c r="Z497" s="144">
        <f t="shared" si="73"/>
        <v>64740</v>
      </c>
      <c r="AA497" s="144">
        <f t="shared" si="73"/>
        <v>55050</v>
      </c>
      <c r="AB497" s="144">
        <f t="shared" si="73"/>
        <v>92599</v>
      </c>
      <c r="AC497" s="144">
        <f t="shared" si="73"/>
        <v>44700</v>
      </c>
      <c r="AD497" s="144">
        <f t="shared" si="73"/>
        <v>44800</v>
      </c>
      <c r="AE497" s="144">
        <f t="shared" si="73"/>
        <v>34460</v>
      </c>
      <c r="AF497" s="144">
        <f t="shared" si="73"/>
        <v>35120</v>
      </c>
      <c r="AG497" s="144">
        <f t="shared" si="73"/>
        <v>81214</v>
      </c>
      <c r="AH497" s="144">
        <f t="shared" si="73"/>
        <v>38190</v>
      </c>
      <c r="AI497" s="144">
        <f t="shared" si="73"/>
        <v>41980</v>
      </c>
      <c r="AJ497" s="144">
        <f t="shared" si="73"/>
        <v>41490</v>
      </c>
      <c r="AK497" s="144">
        <f t="shared" si="73"/>
        <v>55118</v>
      </c>
      <c r="AL497" s="144">
        <f t="shared" si="73"/>
        <v>36290</v>
      </c>
      <c r="AM497" s="144">
        <f t="shared" si="73"/>
        <v>27500</v>
      </c>
      <c r="AN497" s="144">
        <f t="shared" si="73"/>
        <v>31300</v>
      </c>
      <c r="AO497" s="144">
        <f t="shared" si="73"/>
        <v>47823</v>
      </c>
      <c r="AP497" s="144">
        <f t="shared" si="73"/>
        <v>30800</v>
      </c>
      <c r="AQ497" s="144">
        <f t="shared" si="73"/>
        <v>20600</v>
      </c>
      <c r="AR497" s="144">
        <f t="shared" si="73"/>
        <v>30800</v>
      </c>
      <c r="AS497" s="144">
        <f t="shared" si="73"/>
        <v>29505</v>
      </c>
      <c r="AT497" s="144">
        <f t="shared" si="73"/>
        <v>56966</v>
      </c>
      <c r="AU497" s="144">
        <f t="shared" si="73"/>
        <v>34230</v>
      </c>
      <c r="AV497" s="144">
        <f t="shared" si="73"/>
        <v>37530</v>
      </c>
      <c r="AW497" s="144">
        <f t="shared" si="73"/>
        <v>37680</v>
      </c>
      <c r="AX497" s="144">
        <f t="shared" si="73"/>
        <v>79058</v>
      </c>
      <c r="AY497" s="144">
        <f t="shared" si="73"/>
        <v>42780</v>
      </c>
      <c r="AZ497" s="144">
        <f t="shared" si="73"/>
        <v>41880</v>
      </c>
      <c r="BA497" s="144">
        <f t="shared" si="73"/>
        <v>38380</v>
      </c>
      <c r="BB497" s="144">
        <f t="shared" si="73"/>
        <v>90288</v>
      </c>
      <c r="BC497" s="144">
        <f t="shared" si="73"/>
        <v>40530</v>
      </c>
      <c r="BD497" s="144">
        <f t="shared" si="73"/>
        <v>44130</v>
      </c>
      <c r="BE497" s="144">
        <f t="shared" si="73"/>
        <v>43780</v>
      </c>
      <c r="BF497" s="144">
        <f t="shared" si="73"/>
        <v>45980</v>
      </c>
      <c r="BG497" s="144">
        <f t="shared" si="73"/>
        <v>72450</v>
      </c>
      <c r="BH497" s="144">
        <f t="shared" si="73"/>
        <v>45080</v>
      </c>
      <c r="BI497" s="144">
        <f t="shared" si="73"/>
        <v>39950</v>
      </c>
      <c r="BJ497" s="144">
        <f t="shared" si="73"/>
        <v>35200</v>
      </c>
      <c r="BK497" s="144">
        <f t="shared" si="73"/>
        <v>29150</v>
      </c>
      <c r="BL497" s="144">
        <f t="shared" si="73"/>
        <v>22300</v>
      </c>
      <c r="BM497" s="144">
        <f t="shared" si="73"/>
        <v>8100</v>
      </c>
      <c r="BN497" s="144">
        <f t="shared" si="73"/>
        <v>0</v>
      </c>
      <c r="BO497" s="144">
        <f t="shared" si="73"/>
        <v>0</v>
      </c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>
        <f>SUBTOTAL(9,BZ3:BZ496)</f>
        <v>0</v>
      </c>
    </row>
    <row r="499" spans="3:78"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  <c r="AR499" s="175"/>
      <c r="AS499" s="175"/>
      <c r="AT499" s="175"/>
      <c r="AU499" s="175"/>
      <c r="AV499" s="175"/>
      <c r="AW499" s="175"/>
      <c r="AX499" s="175"/>
      <c r="AY499" s="175"/>
      <c r="AZ499" s="175"/>
      <c r="BA499" s="175"/>
      <c r="BB499" s="175"/>
      <c r="BC499" s="175"/>
      <c r="BD499" s="175"/>
      <c r="BE499" s="175"/>
      <c r="BF499" s="175"/>
      <c r="BG499" s="175"/>
      <c r="BH499" s="175"/>
      <c r="BI499" s="175"/>
      <c r="BJ499" s="175"/>
      <c r="BK499" s="175"/>
      <c r="BL499" s="175"/>
      <c r="BM499" s="175"/>
      <c r="BN499" s="175"/>
      <c r="BO499" s="175"/>
    </row>
    <row r="502" spans="3:78">
      <c r="N502" s="121"/>
    </row>
  </sheetData>
  <autoFilter ref="A2:BZ496"/>
  <mergeCells count="12">
    <mergeCell ref="BK1:BO1"/>
    <mergeCell ref="O1:S1"/>
    <mergeCell ref="T1:W1"/>
    <mergeCell ref="X1:AA1"/>
    <mergeCell ref="AB1:AF1"/>
    <mergeCell ref="AG1:AJ1"/>
    <mergeCell ref="AK1:AN1"/>
    <mergeCell ref="AO1:AS1"/>
    <mergeCell ref="AT1:AW1"/>
    <mergeCell ref="AX1:BA1"/>
    <mergeCell ref="BB1:BF1"/>
    <mergeCell ref="BG1:BJ1"/>
  </mergeCells>
  <pageMargins left="0.78740157499999996" right="0.78740157499999996" top="0.984251969" bottom="0.984251969" header="0.5" footer="0.5"/>
  <pageSetup paperSize="9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40</vt:i4>
      </vt:variant>
      <vt:variant>
        <vt:lpstr>Plages nommées</vt:lpstr>
      </vt:variant>
      <vt:variant>
        <vt:i4>3</vt:i4>
      </vt:variant>
    </vt:vector>
  </HeadingPairs>
  <TitlesOfParts>
    <vt:vector size="43" baseType="lpstr">
      <vt:lpstr>BDD</vt:lpstr>
      <vt:lpstr>Budget-Réel </vt:lpstr>
      <vt:lpstr>Graph VFLI</vt:lpstr>
      <vt:lpstr>Graph OFI</vt:lpstr>
      <vt:lpstr>Graph FRET</vt:lpstr>
      <vt:lpstr>Graph GEOPARTS</vt:lpstr>
      <vt:lpstr>BDD-TDB</vt:lpstr>
      <vt:lpstr>TDB</vt:lpstr>
      <vt:lpstr>TDB (2)</vt:lpstr>
      <vt:lpstr>Accostage</vt:lpstr>
      <vt:lpstr>Graph Accostage</vt:lpstr>
      <vt:lpstr>CTR</vt:lpstr>
      <vt:lpstr>CTR par bassin</vt:lpstr>
      <vt:lpstr>Vol. Carrières</vt:lpstr>
      <vt:lpstr>Vol. Ballast Tot. </vt:lpstr>
      <vt:lpstr>Graph Vol.Ballast Tot.</vt:lpstr>
      <vt:lpstr>Variation N-1</vt:lpstr>
      <vt:lpstr>Variat. Tot. + Bassins</vt:lpstr>
      <vt:lpstr>Graph. Variation</vt:lpstr>
      <vt:lpstr>Vol. par Bassin</vt:lpstr>
      <vt:lpstr>Bassin SUD</vt:lpstr>
      <vt:lpstr>Bassin NORD EST</vt:lpstr>
      <vt:lpstr>Bassin NORD OUEST</vt:lpstr>
      <vt:lpstr>Bagnac</vt:lpstr>
      <vt:lpstr>Courzieu</vt:lpstr>
      <vt:lpstr>Cusset</vt:lpstr>
      <vt:lpstr>EP Roy</vt:lpstr>
      <vt:lpstr>Mâcon</vt:lpstr>
      <vt:lpstr>Montrond</vt:lpstr>
      <vt:lpstr>Thouars</vt:lpstr>
      <vt:lpstr>Verneuil</vt:lpstr>
      <vt:lpstr>Epiry</vt:lpstr>
      <vt:lpstr>Giromagny</vt:lpstr>
      <vt:lpstr>Luzy</vt:lpstr>
      <vt:lpstr>Raon</vt:lpstr>
      <vt:lpstr>Vauvelle</vt:lpstr>
      <vt:lpstr>Lessines-Quenast</vt:lpstr>
      <vt:lpstr>Montabard</vt:lpstr>
      <vt:lpstr>Surdon</vt:lpstr>
      <vt:lpstr>RequeteExportFluxMatiereParAnne</vt:lpstr>
      <vt:lpstr>RAON</vt:lpstr>
      <vt:lpstr>BDD!Zone_d_impression</vt:lpstr>
      <vt:lpstr>'Vol. Ballast Tot. '!Zone_d_impression</vt:lpstr>
    </vt:vector>
  </TitlesOfParts>
  <Company>SNCF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9305381V</dc:creator>
  <cp:lastModifiedBy>9305381V</cp:lastModifiedBy>
  <cp:lastPrinted>2016-03-25T08:31:40Z</cp:lastPrinted>
  <dcterms:created xsi:type="dcterms:W3CDTF">2015-10-14T07:01:03Z</dcterms:created>
  <dcterms:modified xsi:type="dcterms:W3CDTF">2016-04-07T13:10:23Z</dcterms:modified>
</cp:coreProperties>
</file>