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évin\Documents\Kévin\Rapport U51\"/>
    </mc:Choice>
  </mc:AlternateContent>
  <bookViews>
    <workbookView xWindow="0" yWindow="0" windowWidth="10680" windowHeight="8220" tabRatio="495" firstSheet="1" activeTab="3"/>
  </bookViews>
  <sheets>
    <sheet name="Entrée" sheetId="2" r:id="rId1"/>
    <sheet name="Sortie" sheetId="6" r:id="rId2"/>
    <sheet name="Suivi de stock" sheetId="4" r:id="rId3"/>
    <sheet name="Devis" sheetId="5" r:id="rId4"/>
    <sheet name="Fiche de commande" sheetId="7" r:id="rId5"/>
  </sheets>
  <definedNames>
    <definedName name="_xlnm._FilterDatabase" localSheetId="0" hidden="1">Entrée!$A$2:$B$3</definedName>
    <definedName name="_xlnm._FilterDatabase" localSheetId="2" hidden="1">'Suivi de stock'!$A$1:$AA$110</definedName>
    <definedName name="Données">#REF!</definedName>
    <definedName name="Entrée">Entrée!$A$5:$AA$81</definedName>
    <definedName name="Entrées">Entrée!#REF!</definedName>
    <definedName name="Sortie">Sortie!$A$5:$AA$73</definedName>
    <definedName name="Sorties">Entrée!#REF!</definedName>
    <definedName name="Tableau">'Suivi de stock'!$H$5:$AC$110</definedName>
    <definedName name="ValHighlight">'Suivi de stock'!$J$1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4" l="1"/>
  <c r="A20" i="5" s="1"/>
  <c r="A31" i="4"/>
  <c r="A17" i="5" l="1"/>
  <c r="A21" i="5"/>
  <c r="A18" i="5"/>
  <c r="A19" i="5"/>
  <c r="A14" i="5"/>
  <c r="A13" i="5"/>
  <c r="A12" i="5"/>
  <c r="A11" i="5"/>
  <c r="A10" i="5"/>
  <c r="A9" i="5"/>
  <c r="A8" i="5"/>
  <c r="A7" i="5"/>
  <c r="A28" i="4"/>
  <c r="A27" i="4"/>
  <c r="A33" i="4"/>
  <c r="A34" i="4"/>
  <c r="A35" i="4"/>
  <c r="A26" i="4"/>
  <c r="A25" i="4"/>
  <c r="A24" i="4"/>
  <c r="A23" i="4"/>
  <c r="A22" i="4" l="1"/>
  <c r="A21" i="4"/>
  <c r="A20" i="4"/>
  <c r="A5" i="5"/>
  <c r="A4" i="5"/>
  <c r="A18" i="4"/>
  <c r="A15" i="4"/>
  <c r="A13" i="4"/>
  <c r="A11" i="4"/>
  <c r="A10" i="4"/>
  <c r="A8" i="4"/>
  <c r="A7" i="4" l="1"/>
  <c r="N7" i="4" l="1"/>
  <c r="N8" i="4"/>
  <c r="N9" i="4"/>
  <c r="N10" i="4"/>
  <c r="C10" i="4" s="1"/>
  <c r="N11" i="4"/>
  <c r="N12" i="4"/>
  <c r="N13" i="4"/>
  <c r="N14" i="4"/>
  <c r="N15" i="4"/>
  <c r="N16" i="4"/>
  <c r="N17" i="4"/>
  <c r="N18" i="4"/>
  <c r="N19" i="4"/>
  <c r="N20" i="4"/>
  <c r="N21" i="4"/>
  <c r="N22" i="4"/>
  <c r="C22" i="4" s="1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L8" i="4"/>
  <c r="L9" i="4"/>
  <c r="L10" i="4"/>
  <c r="L11" i="4"/>
  <c r="C11" i="4" s="1"/>
  <c r="L12" i="4"/>
  <c r="L13" i="4"/>
  <c r="L14" i="4"/>
  <c r="L15" i="4"/>
  <c r="L16" i="4"/>
  <c r="L17" i="4"/>
  <c r="L18" i="4"/>
  <c r="L19" i="4"/>
  <c r="L20" i="4"/>
  <c r="L21" i="4"/>
  <c r="L22" i="4"/>
  <c r="L23" i="4"/>
  <c r="C23" i="4" s="1"/>
  <c r="L24" i="4"/>
  <c r="L25" i="4"/>
  <c r="L26" i="4"/>
  <c r="L27" i="4"/>
  <c r="C27" i="4" s="1"/>
  <c r="L28" i="4"/>
  <c r="L29" i="4"/>
  <c r="L30" i="4"/>
  <c r="L31" i="4"/>
  <c r="L32" i="4"/>
  <c r="L33" i="4"/>
  <c r="L34" i="4"/>
  <c r="L35" i="4"/>
  <c r="L7" i="4"/>
  <c r="C26" i="4"/>
  <c r="C28" i="4"/>
  <c r="C29" i="4"/>
  <c r="A29" i="4" s="1"/>
  <c r="Q7" i="4"/>
  <c r="O8" i="4"/>
  <c r="O9" i="4"/>
  <c r="O12" i="4"/>
  <c r="O13" i="4"/>
  <c r="O14" i="4"/>
  <c r="O15" i="4"/>
  <c r="O16" i="4"/>
  <c r="O17" i="4"/>
  <c r="O18" i="4"/>
  <c r="O19" i="4"/>
  <c r="O20" i="4"/>
  <c r="O21" i="4"/>
  <c r="O24" i="4"/>
  <c r="O25" i="4"/>
  <c r="O30" i="4"/>
  <c r="O31" i="4"/>
  <c r="O32" i="4"/>
  <c r="O33" i="4"/>
  <c r="O34" i="4"/>
  <c r="O35" i="4"/>
  <c r="M8" i="4"/>
  <c r="M9" i="4"/>
  <c r="M12" i="4"/>
  <c r="M13" i="4"/>
  <c r="M14" i="4"/>
  <c r="M15" i="4"/>
  <c r="M16" i="4"/>
  <c r="M17" i="4"/>
  <c r="M18" i="4"/>
  <c r="M19" i="4"/>
  <c r="M20" i="4"/>
  <c r="M21" i="4"/>
  <c r="M24" i="4"/>
  <c r="M25" i="4"/>
  <c r="M30" i="4"/>
  <c r="M31" i="4"/>
  <c r="M32" i="4"/>
  <c r="M33" i="4"/>
  <c r="M34" i="4"/>
  <c r="M35" i="4"/>
  <c r="O7" i="4"/>
  <c r="M7" i="4"/>
  <c r="I7" i="4"/>
  <c r="A30" i="4" l="1"/>
  <c r="A16" i="5" s="1"/>
  <c r="J7" i="4"/>
  <c r="J8" i="4"/>
  <c r="J12" i="4"/>
  <c r="J13" i="4"/>
  <c r="J14" i="4"/>
  <c r="J15" i="4"/>
  <c r="J16" i="4"/>
  <c r="J17" i="4"/>
  <c r="J18" i="4"/>
  <c r="J19" i="4"/>
  <c r="J20" i="4"/>
  <c r="J21" i="4"/>
  <c r="J24" i="4"/>
  <c r="J25" i="4"/>
  <c r="J30" i="4"/>
  <c r="J31" i="4"/>
  <c r="J32" i="4"/>
  <c r="J33" i="4"/>
  <c r="J34" i="4"/>
  <c r="J35" i="4"/>
  <c r="J9" i="4"/>
  <c r="H8" i="4"/>
  <c r="H9" i="4"/>
  <c r="H12" i="4"/>
  <c r="H13" i="4"/>
  <c r="H14" i="4"/>
  <c r="H15" i="4"/>
  <c r="H16" i="4"/>
  <c r="H17" i="4"/>
  <c r="H18" i="4"/>
  <c r="H19" i="4"/>
  <c r="H20" i="4"/>
  <c r="H21" i="4"/>
  <c r="H24" i="4"/>
  <c r="H25" i="4"/>
  <c r="H30" i="4"/>
  <c r="H31" i="4"/>
  <c r="H32" i="4"/>
  <c r="H33" i="4"/>
  <c r="H34" i="4"/>
  <c r="H35" i="4"/>
  <c r="H7" i="4"/>
  <c r="G9" i="4"/>
  <c r="G12" i="4"/>
  <c r="G13" i="4"/>
  <c r="G14" i="4"/>
  <c r="G15" i="4"/>
  <c r="G16" i="4"/>
  <c r="G17" i="4"/>
  <c r="G18" i="4"/>
  <c r="G19" i="4"/>
  <c r="G20" i="4"/>
  <c r="G21" i="4"/>
  <c r="G24" i="4"/>
  <c r="G25" i="4"/>
  <c r="G30" i="4"/>
  <c r="G31" i="4"/>
  <c r="G32" i="4"/>
  <c r="G33" i="4"/>
  <c r="G34" i="4"/>
  <c r="G35" i="4"/>
  <c r="G8" i="4"/>
  <c r="G7" i="4"/>
  <c r="F17" i="4"/>
  <c r="F18" i="4"/>
  <c r="F19" i="4"/>
  <c r="F20" i="4"/>
  <c r="F21" i="4"/>
  <c r="F24" i="4"/>
  <c r="F25" i="4"/>
  <c r="F30" i="4"/>
  <c r="F31" i="4"/>
  <c r="F32" i="4"/>
  <c r="F33" i="4"/>
  <c r="F34" i="4"/>
  <c r="F35" i="4"/>
  <c r="F9" i="4"/>
  <c r="F12" i="4"/>
  <c r="F13" i="4"/>
  <c r="F14" i="4"/>
  <c r="F15" i="4"/>
  <c r="F16" i="4"/>
  <c r="F8" i="4"/>
  <c r="F7" i="4"/>
  <c r="I32" i="4"/>
  <c r="I33" i="4"/>
  <c r="I34" i="4"/>
  <c r="I35" i="4"/>
  <c r="I8" i="4"/>
  <c r="I9" i="4"/>
  <c r="I12" i="4"/>
  <c r="I13" i="4"/>
  <c r="I14" i="4"/>
  <c r="I15" i="4"/>
  <c r="I16" i="4"/>
  <c r="I17" i="4"/>
  <c r="I18" i="4"/>
  <c r="I19" i="4"/>
  <c r="I20" i="4"/>
  <c r="I21" i="4"/>
  <c r="I24" i="4"/>
  <c r="I25" i="4"/>
  <c r="I30" i="4"/>
  <c r="I31" i="4"/>
  <c r="K9" i="4"/>
  <c r="K12" i="4"/>
  <c r="K13" i="4"/>
  <c r="K14" i="4"/>
  <c r="K15" i="4"/>
  <c r="K16" i="4"/>
  <c r="K17" i="4"/>
  <c r="K18" i="4"/>
  <c r="K19" i="4"/>
  <c r="K20" i="4"/>
  <c r="K21" i="4"/>
  <c r="K24" i="4"/>
  <c r="K25" i="4"/>
  <c r="K30" i="4"/>
  <c r="K31" i="4"/>
  <c r="K32" i="4"/>
  <c r="K33" i="4"/>
  <c r="K34" i="4"/>
  <c r="K35" i="4"/>
  <c r="K8" i="4"/>
  <c r="K7" i="4"/>
  <c r="A15" i="5" l="1"/>
  <c r="C16" i="4"/>
  <c r="C12" i="4"/>
  <c r="C15" i="4"/>
  <c r="C14" i="4"/>
  <c r="C17" i="4"/>
  <c r="C13" i="4"/>
  <c r="C31" i="4"/>
  <c r="C30" i="4"/>
  <c r="C20" i="4"/>
  <c r="C33" i="4"/>
  <c r="C25" i="4"/>
  <c r="C21" i="4"/>
  <c r="C32" i="4"/>
  <c r="C24" i="4"/>
  <c r="C7" i="4"/>
  <c r="C18" i="4" l="1"/>
  <c r="C19" i="4"/>
  <c r="C8" i="4"/>
  <c r="C9" i="4" l="1"/>
  <c r="A9" i="4" s="1"/>
  <c r="A12" i="4" l="1"/>
  <c r="A14" i="4" s="1"/>
  <c r="A6" i="5"/>
  <c r="C35" i="4"/>
  <c r="C34" i="4"/>
  <c r="A16" i="4" l="1"/>
  <c r="A17" i="4" s="1"/>
  <c r="A19" i="4" l="1"/>
</calcChain>
</file>

<file path=xl/sharedStrings.xml><?xml version="1.0" encoding="utf-8"?>
<sst xmlns="http://schemas.openxmlformats.org/spreadsheetml/2006/main" count="172" uniqueCount="87">
  <si>
    <t>Produit</t>
  </si>
  <si>
    <t>Cheville D6</t>
  </si>
  <si>
    <t>Cheville D8</t>
  </si>
  <si>
    <t>Cheville D10</t>
  </si>
  <si>
    <t>Cheville D14</t>
  </si>
  <si>
    <t>Tirefonds 6*50</t>
  </si>
  <si>
    <t>Tirefonds 6*100</t>
  </si>
  <si>
    <t>Entrée</t>
  </si>
  <si>
    <t>Sortie</t>
  </si>
  <si>
    <t>Seuil Critique</t>
  </si>
  <si>
    <t>Colonne1</t>
  </si>
  <si>
    <t>Fourniture</t>
  </si>
  <si>
    <t>Quantité demandée</t>
  </si>
  <si>
    <t>Stock initial</t>
  </si>
  <si>
    <t xml:space="preserve">  Stock du service menuiserie</t>
  </si>
  <si>
    <t xml:space="preserve">Stock </t>
  </si>
  <si>
    <t>Visserie</t>
  </si>
  <si>
    <t>Tirefonds 8*50</t>
  </si>
  <si>
    <t>Tirefonds 8*100</t>
  </si>
  <si>
    <t>Matériel</t>
  </si>
  <si>
    <t>Molly D6</t>
  </si>
  <si>
    <t>Molly D8</t>
  </si>
  <si>
    <t>Boulon Poêlier 6*60</t>
  </si>
  <si>
    <t>Boulon Poêlier 6*80</t>
  </si>
  <si>
    <t>Boulon Poêlier 6*100</t>
  </si>
  <si>
    <t>FICHE DE COMMANDE</t>
  </si>
  <si>
    <t>Service demandeur :</t>
  </si>
  <si>
    <t>Commande n°</t>
  </si>
  <si>
    <t>Nom du responsable :</t>
  </si>
  <si>
    <t>Signature :</t>
  </si>
  <si>
    <t>Date de demande de la commande :</t>
  </si>
  <si>
    <t>Fournisseur :</t>
  </si>
  <si>
    <t>Fax :</t>
  </si>
  <si>
    <t>tél :</t>
  </si>
  <si>
    <t>Détail des achats</t>
  </si>
  <si>
    <t>TOTAL TTC</t>
  </si>
  <si>
    <t>TVA</t>
  </si>
  <si>
    <t>Prix unitaire HT</t>
  </si>
  <si>
    <t>Quantité</t>
  </si>
  <si>
    <t>Libellé du produit</t>
  </si>
  <si>
    <t>Total HT</t>
  </si>
  <si>
    <t>Total TTC</t>
  </si>
  <si>
    <t>Lieu de dépense :</t>
  </si>
  <si>
    <t>(ex: école mat Dolto)</t>
  </si>
  <si>
    <t>Imputation :</t>
  </si>
  <si>
    <t>Fonctionnement</t>
  </si>
  <si>
    <t>Investissement</t>
  </si>
  <si>
    <t>oui</t>
  </si>
  <si>
    <t>non</t>
  </si>
  <si>
    <t>Programme :</t>
  </si>
  <si>
    <t>article :</t>
  </si>
  <si>
    <t>Service :</t>
  </si>
  <si>
    <t>(investissement)</t>
  </si>
  <si>
    <r>
      <t xml:space="preserve">Travaux en régie </t>
    </r>
    <r>
      <rPr>
        <i/>
        <sz val="8"/>
        <color theme="1"/>
        <rFont val="Calibri"/>
        <family val="2"/>
        <scheme val="minor"/>
      </rPr>
      <t>(investissement)</t>
    </r>
  </si>
  <si>
    <t>(ex : 230 voirie)</t>
  </si>
  <si>
    <t>(ex : 60631 fournitures dentretien)</t>
  </si>
  <si>
    <t>Visa chef de service/date :</t>
  </si>
  <si>
    <t>outillage</t>
  </si>
  <si>
    <t>Petit marteau</t>
  </si>
  <si>
    <t>Gros marteau</t>
  </si>
  <si>
    <t>maillet en bois</t>
  </si>
  <si>
    <t>Tournevis plat</t>
  </si>
  <si>
    <t>Tournevis cruciforme</t>
  </si>
  <si>
    <t xml:space="preserve">Rappes à bois </t>
  </si>
  <si>
    <t>Rappes rondes</t>
  </si>
  <si>
    <t>Ciseaux à bois toute taille</t>
  </si>
  <si>
    <t>Rabots main petit</t>
  </si>
  <si>
    <t>Rabots main grand</t>
  </si>
  <si>
    <t>Equerre toutes tailles</t>
  </si>
  <si>
    <t>Mètre à ruban 3m</t>
  </si>
  <si>
    <t>vis aglomère 3,5*30</t>
  </si>
  <si>
    <t>vis aglomère 4*30</t>
  </si>
  <si>
    <t>vis aglomère 3,5*35</t>
  </si>
  <si>
    <t>vis aglomère 4*35</t>
  </si>
  <si>
    <t>vis aglomère 4*40</t>
  </si>
  <si>
    <t>vis aglomère 4*50</t>
  </si>
  <si>
    <t>vis aglomère 4*60</t>
  </si>
  <si>
    <t>vis aglomère 4*70</t>
  </si>
  <si>
    <t>Pour afficher la date actuel appuyer sur CTRL + ;</t>
  </si>
  <si>
    <t>vis aglomère 3,5*25</t>
  </si>
  <si>
    <t>vis aglomère 3,5*20</t>
  </si>
  <si>
    <t>vis aglomère 4*15</t>
  </si>
  <si>
    <t>vis aglomère 3,5*40</t>
  </si>
  <si>
    <t>vis aglomère 4*25</t>
  </si>
  <si>
    <t>vis aglomère 4*20</t>
  </si>
  <si>
    <t>Boulon Poêlier 10*150</t>
  </si>
  <si>
    <t>Boulon Poêlier 10*110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</si>
</sst>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ashed">
        <color theme="1"/>
      </left>
      <right style="thin">
        <color theme="0"/>
      </right>
      <top style="dashed">
        <color theme="1"/>
      </top>
      <bottom style="dashed">
        <color theme="1"/>
      </bottom>
      <diagonal/>
    </border>
    <border>
      <left style="thin">
        <color theme="0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8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2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3" borderId="0" xfId="0" applyFill="1" applyAlignment="1"/>
    <xf numFmtId="0" fontId="3" fillId="0" borderId="0" xfId="0" applyFont="1" applyFill="1" applyAlignment="1"/>
    <xf numFmtId="0" fontId="4" fillId="0" borderId="3" xfId="0" applyFont="1" applyBorder="1" applyAlignment="1">
      <alignment horizontal="center" vertical="center" wrapText="1"/>
    </xf>
    <xf numFmtId="0" fontId="0" fillId="0" borderId="6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NumberFormat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0" xfId="0" applyFont="1" applyFill="1" applyAlignment="1"/>
    <xf numFmtId="0" fontId="0" fillId="0" borderId="12" xfId="0" applyFont="1" applyBorder="1"/>
    <xf numFmtId="0" fontId="0" fillId="0" borderId="0" xfId="0" applyBorder="1" applyAlignment="1"/>
    <xf numFmtId="0" fontId="0" fillId="0" borderId="8" xfId="0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4" fontId="0" fillId="2" borderId="0" xfId="0" applyNumberFormat="1" applyFill="1"/>
    <xf numFmtId="14" fontId="1" fillId="2" borderId="0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0" fontId="0" fillId="0" borderId="14" xfId="0" applyFont="1" applyBorder="1"/>
    <xf numFmtId="1" fontId="0" fillId="0" borderId="12" xfId="0" applyNumberFormat="1" applyFont="1" applyBorder="1"/>
    <xf numFmtId="0" fontId="0" fillId="0" borderId="15" xfId="0" applyFont="1" applyBorder="1"/>
    <xf numFmtId="0" fontId="0" fillId="0" borderId="0" xfId="0" applyFont="1" applyFill="1" applyBorder="1"/>
    <xf numFmtId="0" fontId="0" fillId="0" borderId="16" xfId="0" applyFont="1" applyBorder="1"/>
    <xf numFmtId="0" fontId="0" fillId="0" borderId="17" xfId="0" applyFont="1" applyBorder="1"/>
    <xf numFmtId="1" fontId="0" fillId="0" borderId="17" xfId="0" applyNumberFormat="1" applyFont="1" applyBorder="1"/>
    <xf numFmtId="0" fontId="0" fillId="0" borderId="18" xfId="0" applyFont="1" applyBorder="1"/>
    <xf numFmtId="0" fontId="6" fillId="5" borderId="19" xfId="0" applyFont="1" applyFill="1" applyBorder="1" applyAlignment="1">
      <alignment horizontal="center" textRotation="90"/>
    </xf>
    <xf numFmtId="1" fontId="0" fillId="2" borderId="12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0" borderId="21" xfId="0" applyFont="1" applyBorder="1"/>
    <xf numFmtId="0" fontId="0" fillId="0" borderId="22" xfId="0" applyFont="1" applyBorder="1"/>
    <xf numFmtId="1" fontId="0" fillId="0" borderId="22" xfId="0" applyNumberFormat="1" applyFont="1" applyBorder="1"/>
    <xf numFmtId="0" fontId="0" fillId="0" borderId="23" xfId="0" applyFont="1" applyBorder="1"/>
    <xf numFmtId="0" fontId="0" fillId="0" borderId="0" xfId="0" applyFont="1" applyBorder="1"/>
    <xf numFmtId="0" fontId="7" fillId="2" borderId="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0" fillId="0" borderId="36" xfId="0" applyFont="1" applyBorder="1"/>
    <xf numFmtId="0" fontId="0" fillId="0" borderId="35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56" xfId="0" applyFont="1" applyBorder="1"/>
    <xf numFmtId="0" fontId="0" fillId="0" borderId="55" xfId="0" applyFont="1" applyBorder="1"/>
    <xf numFmtId="0" fontId="0" fillId="0" borderId="55" xfId="0" applyFont="1" applyBorder="1" applyAlignment="1">
      <alignment horizontal="center" vertical="center"/>
    </xf>
    <xf numFmtId="0" fontId="0" fillId="0" borderId="63" xfId="0" applyFont="1" applyBorder="1"/>
    <xf numFmtId="0" fontId="0" fillId="0" borderId="64" xfId="0" applyFont="1" applyBorder="1"/>
    <xf numFmtId="0" fontId="0" fillId="0" borderId="65" xfId="0" applyFont="1" applyBorder="1"/>
    <xf numFmtId="0" fontId="0" fillId="0" borderId="67" xfId="0" applyFont="1" applyBorder="1"/>
    <xf numFmtId="0" fontId="0" fillId="0" borderId="25" xfId="0" applyFont="1" applyBorder="1"/>
    <xf numFmtId="0" fontId="0" fillId="0" borderId="68" xfId="0" applyFont="1" applyBorder="1"/>
    <xf numFmtId="0" fontId="10" fillId="0" borderId="0" xfId="0" applyFont="1" applyBorder="1"/>
    <xf numFmtId="0" fontId="10" fillId="0" borderId="32" xfId="0" applyFont="1" applyBorder="1"/>
    <xf numFmtId="0" fontId="0" fillId="0" borderId="0" xfId="0" applyProtection="1">
      <protection locked="0"/>
    </xf>
    <xf numFmtId="0" fontId="0" fillId="0" borderId="1" xfId="0" applyBorder="1" applyAlignment="1"/>
    <xf numFmtId="0" fontId="0" fillId="0" borderId="70" xfId="0" applyFont="1" applyBorder="1"/>
    <xf numFmtId="0" fontId="0" fillId="0" borderId="69" xfId="0" applyFont="1" applyBorder="1"/>
    <xf numFmtId="0" fontId="0" fillId="0" borderId="71" xfId="0" applyFont="1" applyBorder="1"/>
    <xf numFmtId="0" fontId="0" fillId="0" borderId="72" xfId="0" applyBorder="1"/>
    <xf numFmtId="0" fontId="0" fillId="0" borderId="25" xfId="0" applyBorder="1"/>
    <xf numFmtId="164" fontId="0" fillId="0" borderId="0" xfId="0" applyNumberFormat="1"/>
    <xf numFmtId="0" fontId="13" fillId="2" borderId="14" xfId="0" applyNumberFormat="1" applyFont="1" applyFill="1" applyBorder="1" applyAlignment="1">
      <alignment horizontal="center"/>
    </xf>
    <xf numFmtId="0" fontId="0" fillId="0" borderId="14" xfId="0" applyFont="1" applyFill="1" applyBorder="1"/>
    <xf numFmtId="1" fontId="0" fillId="0" borderId="12" xfId="0" applyNumberFormat="1" applyFont="1" applyFill="1" applyBorder="1"/>
    <xf numFmtId="0" fontId="0" fillId="0" borderId="15" xfId="0" applyFont="1" applyFill="1" applyBorder="1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0" fontId="14" fillId="0" borderId="12" xfId="0" applyFont="1" applyFill="1" applyBorder="1"/>
    <xf numFmtId="0" fontId="14" fillId="0" borderId="12" xfId="0" applyFont="1" applyBorder="1"/>
    <xf numFmtId="14" fontId="2" fillId="0" borderId="4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36</xdr:row>
      <xdr:rowOff>180974</xdr:rowOff>
    </xdr:from>
    <xdr:to>
      <xdr:col>2</xdr:col>
      <xdr:colOff>95250</xdr:colOff>
      <xdr:row>43</xdr:row>
      <xdr:rowOff>114299</xdr:rowOff>
    </xdr:to>
    <xdr:sp macro="" textlink="">
      <xdr:nvSpPr>
        <xdr:cNvPr id="2" name="ZoneTexte 1"/>
        <xdr:cNvSpPr txBox="1"/>
      </xdr:nvSpPr>
      <xdr:spPr>
        <a:xfrm>
          <a:off x="123825" y="7115174"/>
          <a:ext cx="1828800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 colonne A se trouve une</a:t>
          </a:r>
          <a:r>
            <a:rPr lang="fr-FR" sz="1100" baseline="0"/>
            <a:t> *grosse formule  qui me permet de faire le lien avec l'onglet devis. </a:t>
          </a:r>
        </a:p>
        <a:p>
          <a:r>
            <a:rPr lang="fr-FR" sz="1100" baseline="0"/>
            <a:t>Les lignes en jeunes sont reportées dans l'onglet Devis.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3</xdr:row>
      <xdr:rowOff>114300</xdr:rowOff>
    </xdr:from>
    <xdr:to>
      <xdr:col>7</xdr:col>
      <xdr:colOff>9525</xdr:colOff>
      <xdr:row>8</xdr:row>
      <xdr:rowOff>142875</xdr:rowOff>
    </xdr:to>
    <xdr:sp macro="" textlink="">
      <xdr:nvSpPr>
        <xdr:cNvPr id="2" name="ZoneTexte 1"/>
        <xdr:cNvSpPr txBox="1"/>
      </xdr:nvSpPr>
      <xdr:spPr>
        <a:xfrm>
          <a:off x="2724150" y="876300"/>
          <a:ext cx="261937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</a:t>
          </a:r>
          <a:r>
            <a:rPr lang="fr-FR" sz="1100" baseline="0"/>
            <a:t> que j'essaye de faire c'est que chaque ligne en jaune dans le suivie de stock, soit reporté dans celle-ci, mais qu'elles apparaissent les unes en dessous des autres. 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7" name="Tableau7" displayName="Tableau7" ref="B6:B45" totalsRowShown="0" headerRowDxfId="3" dataDxfId="2" tableBorderDxfId="1">
  <sortState ref="B7:B35">
    <sortCondition ref="B6:B29"/>
  </sortState>
  <tableColumns count="1">
    <tableColumn id="1" name="Visse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A46"/>
  <sheetViews>
    <sheetView zoomScaleNormal="100" workbookViewId="0">
      <pane xSplit="1" ySplit="3" topLeftCell="B31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baseColWidth="10" defaultRowHeight="15" x14ac:dyDescent="0.25"/>
  <cols>
    <col min="1" max="1" width="23.7109375" customWidth="1"/>
    <col min="2" max="27" width="11.85546875" customWidth="1"/>
  </cols>
  <sheetData>
    <row r="1" spans="1:27" ht="30" customHeight="1" x14ac:dyDescent="0.25">
      <c r="B1" t="s">
        <v>78</v>
      </c>
    </row>
    <row r="2" spans="1:27" x14ac:dyDescent="0.25">
      <c r="A2" s="69"/>
      <c r="B2" s="69"/>
      <c r="D2" s="15"/>
      <c r="E2" s="15"/>
      <c r="F2" s="15"/>
      <c r="K2" s="15"/>
      <c r="L2" s="15"/>
      <c r="N2" s="15"/>
      <c r="P2" s="15"/>
      <c r="Q2" s="15"/>
      <c r="S2" s="15"/>
      <c r="T2" s="15"/>
      <c r="V2" s="15"/>
      <c r="W2" s="15"/>
      <c r="Z2" s="15"/>
      <c r="AA2" s="15"/>
    </row>
    <row r="3" spans="1:27" ht="15.75" x14ac:dyDescent="0.25">
      <c r="A3" s="1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0" customFormat="1" ht="15.75" x14ac:dyDescent="0.25">
      <c r="A4" s="18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x14ac:dyDescent="0.25">
      <c r="A5" s="70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x14ac:dyDescent="0.25">
      <c r="A6" s="71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x14ac:dyDescent="0.25">
      <c r="A7" s="71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x14ac:dyDescent="0.25">
      <c r="A8" s="71" t="s">
        <v>86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x14ac:dyDescent="0.25">
      <c r="A9" s="71" t="s">
        <v>85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x14ac:dyDescent="0.25">
      <c r="A10" s="71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x14ac:dyDescent="0.25">
      <c r="A11" s="71" t="s">
        <v>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1:27" x14ac:dyDescent="0.25">
      <c r="A12" s="71" t="s">
        <v>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1:27" x14ac:dyDescent="0.25">
      <c r="A13" s="71" t="s">
        <v>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1:27" x14ac:dyDescent="0.25">
      <c r="A14" s="71" t="s">
        <v>20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1:27" x14ac:dyDescent="0.25">
      <c r="A15" s="71" t="s">
        <v>21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x14ac:dyDescent="0.25">
      <c r="A16" s="71" t="s">
        <v>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1:27" x14ac:dyDescent="0.25">
      <c r="A17" s="71" t="s">
        <v>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x14ac:dyDescent="0.25">
      <c r="A18" s="71" t="s">
        <v>18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x14ac:dyDescent="0.25">
      <c r="A19" s="71" t="s">
        <v>17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7" x14ac:dyDescent="0.25">
      <c r="A20" s="71" t="s">
        <v>80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x14ac:dyDescent="0.25">
      <c r="A21" s="71" t="s">
        <v>79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x14ac:dyDescent="0.25">
      <c r="A22" s="71" t="s">
        <v>70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7" x14ac:dyDescent="0.25">
      <c r="A23" s="71" t="s">
        <v>72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1:27" x14ac:dyDescent="0.25">
      <c r="A24" s="71" t="s">
        <v>82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27" x14ac:dyDescent="0.25">
      <c r="A25" s="71" t="s">
        <v>81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1:27" x14ac:dyDescent="0.25">
      <c r="A26" s="71" t="s">
        <v>84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  <row r="27" spans="1:27" x14ac:dyDescent="0.25">
      <c r="A27" s="71" t="s">
        <v>83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spans="1:27" x14ac:dyDescent="0.25">
      <c r="A28" s="71" t="s">
        <v>71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27" x14ac:dyDescent="0.25">
      <c r="A29" s="71" t="s">
        <v>73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1:27" x14ac:dyDescent="0.25">
      <c r="A30" s="71" t="s">
        <v>74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1:27" x14ac:dyDescent="0.25">
      <c r="A31" s="71" t="s">
        <v>75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1:27" x14ac:dyDescent="0.25">
      <c r="A32" s="71" t="s">
        <v>76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1:27" x14ac:dyDescent="0.25">
      <c r="A33" s="72" t="s">
        <v>77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1:27" s="20" customFormat="1" ht="15.75" x14ac:dyDescent="0.25">
      <c r="A34" s="18" t="s">
        <v>57</v>
      </c>
    </row>
    <row r="35" spans="1:27" x14ac:dyDescent="0.25">
      <c r="A35" s="28" t="s">
        <v>58</v>
      </c>
    </row>
    <row r="36" spans="1:27" x14ac:dyDescent="0.25">
      <c r="A36" s="28" t="s">
        <v>59</v>
      </c>
    </row>
    <row r="37" spans="1:27" x14ac:dyDescent="0.25">
      <c r="A37" s="28" t="s">
        <v>60</v>
      </c>
    </row>
    <row r="38" spans="1:27" x14ac:dyDescent="0.25">
      <c r="A38" s="28" t="s">
        <v>61</v>
      </c>
    </row>
    <row r="39" spans="1:27" x14ac:dyDescent="0.25">
      <c r="A39" s="28" t="s">
        <v>62</v>
      </c>
    </row>
    <row r="40" spans="1:27" x14ac:dyDescent="0.25">
      <c r="A40" s="28" t="s">
        <v>63</v>
      </c>
    </row>
    <row r="41" spans="1:27" x14ac:dyDescent="0.25">
      <c r="A41" s="28" t="s">
        <v>64</v>
      </c>
    </row>
    <row r="42" spans="1:27" x14ac:dyDescent="0.25">
      <c r="A42" s="28" t="s">
        <v>65</v>
      </c>
    </row>
    <row r="43" spans="1:27" x14ac:dyDescent="0.25">
      <c r="A43" s="28" t="s">
        <v>66</v>
      </c>
    </row>
    <row r="44" spans="1:27" x14ac:dyDescent="0.25">
      <c r="A44" s="28" t="s">
        <v>67</v>
      </c>
    </row>
    <row r="45" spans="1:27" x14ac:dyDescent="0.25">
      <c r="A45" s="28" t="s">
        <v>68</v>
      </c>
    </row>
    <row r="46" spans="1:27" x14ac:dyDescent="0.25">
      <c r="A46" s="28" t="s">
        <v>69</v>
      </c>
    </row>
  </sheetData>
  <conditionalFormatting sqref="A5:A33">
    <cfRule type="expression" dxfId="14" priority="1">
      <formula>$A5=0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33"/>
  <sheetViews>
    <sheetView workbookViewId="0">
      <pane xSplit="1" ySplit="3" topLeftCell="B10" activePane="bottomRight" state="frozen"/>
      <selection pane="topRight" activeCell="C1" sqref="C1"/>
      <selection pane="bottomLeft" activeCell="A4" sqref="A4"/>
      <selection pane="bottomRight" activeCell="C16" sqref="C16"/>
    </sheetView>
  </sheetViews>
  <sheetFormatPr baseColWidth="10" defaultRowHeight="15" x14ac:dyDescent="0.25"/>
  <cols>
    <col min="1" max="1" width="23.7109375" customWidth="1"/>
    <col min="2" max="16" width="11.85546875" bestFit="1" customWidth="1"/>
    <col min="17" max="17" width="11.85546875" customWidth="1"/>
    <col min="18" max="27" width="11.85546875" bestFit="1" customWidth="1"/>
  </cols>
  <sheetData>
    <row r="1" spans="1:27" ht="30" customHeight="1" x14ac:dyDescent="0.25">
      <c r="B1" t="s">
        <v>78</v>
      </c>
    </row>
    <row r="3" spans="1:27" ht="15.75" x14ac:dyDescent="0.25">
      <c r="A3" s="17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0" customFormat="1" ht="15.75" x14ac:dyDescent="0.25">
      <c r="A4" s="22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x14ac:dyDescent="0.25">
      <c r="A5" s="70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x14ac:dyDescent="0.25">
      <c r="A6" s="71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x14ac:dyDescent="0.25">
      <c r="A7" s="71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x14ac:dyDescent="0.25">
      <c r="A8" s="71" t="s">
        <v>86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x14ac:dyDescent="0.25">
      <c r="A9" s="71" t="s">
        <v>85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x14ac:dyDescent="0.25">
      <c r="A10" s="71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x14ac:dyDescent="0.25">
      <c r="A11" s="71" t="s">
        <v>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1:27" x14ac:dyDescent="0.25">
      <c r="A12" s="71" t="s">
        <v>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1:27" x14ac:dyDescent="0.25">
      <c r="A13" s="71" t="s">
        <v>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1:27" x14ac:dyDescent="0.25">
      <c r="A14" s="71" t="s">
        <v>20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1:27" x14ac:dyDescent="0.25">
      <c r="A15" s="71" t="s">
        <v>21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x14ac:dyDescent="0.25">
      <c r="A16" s="71" t="s">
        <v>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1:27" x14ac:dyDescent="0.25">
      <c r="A17" s="71" t="s">
        <v>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x14ac:dyDescent="0.25">
      <c r="A18" s="71" t="s">
        <v>18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x14ac:dyDescent="0.25">
      <c r="A19" s="71" t="s">
        <v>17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7" x14ac:dyDescent="0.25">
      <c r="A20" s="71" t="s">
        <v>80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x14ac:dyDescent="0.25">
      <c r="A21" s="71" t="s">
        <v>79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x14ac:dyDescent="0.25">
      <c r="A22" s="71" t="s">
        <v>70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7" x14ac:dyDescent="0.25">
      <c r="A23" s="71" t="s">
        <v>72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1:27" x14ac:dyDescent="0.25">
      <c r="A24" s="71" t="s">
        <v>82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27" x14ac:dyDescent="0.25">
      <c r="A25" s="71" t="s">
        <v>81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1:27" x14ac:dyDescent="0.25">
      <c r="A26" s="71" t="s">
        <v>84</v>
      </c>
    </row>
    <row r="27" spans="1:27" x14ac:dyDescent="0.25">
      <c r="A27" s="71" t="s">
        <v>83</v>
      </c>
    </row>
    <row r="28" spans="1:27" x14ac:dyDescent="0.25">
      <c r="A28" s="71" t="s">
        <v>71</v>
      </c>
    </row>
    <row r="29" spans="1:27" x14ac:dyDescent="0.25">
      <c r="A29" s="71" t="s">
        <v>73</v>
      </c>
    </row>
    <row r="30" spans="1:27" x14ac:dyDescent="0.25">
      <c r="A30" s="71" t="s">
        <v>74</v>
      </c>
    </row>
    <row r="31" spans="1:27" x14ac:dyDescent="0.25">
      <c r="A31" s="71" t="s">
        <v>75</v>
      </c>
    </row>
    <row r="32" spans="1:27" x14ac:dyDescent="0.25">
      <c r="A32" s="71" t="s">
        <v>76</v>
      </c>
    </row>
    <row r="33" spans="1:1" x14ac:dyDescent="0.25">
      <c r="A33" s="72" t="s">
        <v>77</v>
      </c>
    </row>
  </sheetData>
  <conditionalFormatting sqref="A5:A33">
    <cfRule type="expression" dxfId="13" priority="1">
      <formula>$A5=0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D110"/>
  <sheetViews>
    <sheetView zoomScaleNormal="100" workbookViewId="0">
      <pane xSplit="5" ySplit="5" topLeftCell="F29" activePane="bottomRight" state="frozen"/>
      <selection pane="topRight" activeCell="F1" sqref="F1"/>
      <selection pane="bottomLeft" activeCell="A7" sqref="A7"/>
      <selection pane="bottomRight" activeCell="A32" sqref="A32"/>
    </sheetView>
  </sheetViews>
  <sheetFormatPr baseColWidth="10" defaultRowHeight="15" x14ac:dyDescent="0.25"/>
  <cols>
    <col min="1" max="1" width="7.140625" customWidth="1"/>
    <col min="2" max="2" width="20.7109375" bestFit="1" customWidth="1"/>
    <col min="3" max="3" width="8.42578125" customWidth="1"/>
    <col min="4" max="4" width="14.28515625" customWidth="1"/>
    <col min="5" max="5" width="7.7109375" customWidth="1"/>
    <col min="6" max="6" width="11.85546875" bestFit="1" customWidth="1"/>
    <col min="7" max="7" width="11.42578125" customWidth="1"/>
  </cols>
  <sheetData>
    <row r="1" spans="1:30" ht="15" customHeight="1" x14ac:dyDescent="0.55000000000000004">
      <c r="A1" s="88" t="s">
        <v>14</v>
      </c>
      <c r="B1" s="88"/>
      <c r="C1" s="88"/>
      <c r="D1" s="88"/>
      <c r="E1" s="88"/>
      <c r="F1" s="13"/>
      <c r="G1" s="13"/>
      <c r="H1" s="13"/>
      <c r="I1" s="13"/>
      <c r="J1" s="87"/>
      <c r="K1" s="87"/>
      <c r="L1" s="5"/>
      <c r="M1" s="5"/>
    </row>
    <row r="2" spans="1:30" ht="6" customHeight="1" x14ac:dyDescent="0.55000000000000004">
      <c r="A2" s="88"/>
      <c r="B2" s="88"/>
      <c r="C2" s="88"/>
      <c r="D2" s="88"/>
      <c r="E2" s="88"/>
      <c r="F2" s="13"/>
      <c r="G2" s="13"/>
      <c r="H2" s="13"/>
      <c r="I2" s="13"/>
      <c r="J2" s="87"/>
      <c r="K2" s="87"/>
      <c r="L2" s="5"/>
      <c r="M2" s="5"/>
    </row>
    <row r="3" spans="1:30" s="4" customFormat="1" ht="12" customHeight="1" x14ac:dyDescent="0.25">
      <c r="A3" s="88"/>
      <c r="B3" s="88"/>
      <c r="C3" s="88"/>
      <c r="D3" s="88"/>
      <c r="E3" s="88"/>
    </row>
    <row r="4" spans="1:30" s="4" customFormat="1" ht="17.25" customHeight="1" x14ac:dyDescent="0.25">
      <c r="A4" s="88"/>
      <c r="B4" s="88"/>
      <c r="C4" s="88"/>
      <c r="D4" s="88"/>
      <c r="E4" s="88"/>
      <c r="F4" s="85"/>
      <c r="G4" s="86"/>
      <c r="H4" s="85"/>
      <c r="I4" s="86"/>
      <c r="J4" s="85"/>
      <c r="K4" s="86"/>
      <c r="L4" s="85"/>
      <c r="M4" s="86"/>
      <c r="N4" s="85"/>
      <c r="O4" s="86"/>
      <c r="P4" s="85"/>
      <c r="Q4" s="86"/>
      <c r="R4" s="85"/>
      <c r="S4" s="86"/>
      <c r="T4" s="85"/>
      <c r="U4" s="86"/>
      <c r="V4" s="85"/>
      <c r="W4" s="86"/>
      <c r="X4" s="85"/>
      <c r="Y4" s="86"/>
      <c r="Z4" s="85"/>
      <c r="AA4" s="86"/>
    </row>
    <row r="5" spans="1:30" ht="27.75" customHeight="1" x14ac:dyDescent="0.25">
      <c r="A5" s="33" t="s">
        <v>10</v>
      </c>
      <c r="B5" s="42" t="s">
        <v>0</v>
      </c>
      <c r="C5" s="43" t="s">
        <v>15</v>
      </c>
      <c r="D5" s="44" t="s">
        <v>9</v>
      </c>
      <c r="E5" s="16" t="s">
        <v>13</v>
      </c>
      <c r="F5" s="11" t="s">
        <v>7</v>
      </c>
      <c r="G5" s="12" t="s">
        <v>8</v>
      </c>
      <c r="H5" s="11" t="s">
        <v>7</v>
      </c>
      <c r="I5" s="12" t="s">
        <v>8</v>
      </c>
      <c r="J5" s="11" t="s">
        <v>7</v>
      </c>
      <c r="K5" s="12" t="s">
        <v>8</v>
      </c>
      <c r="L5" s="11" t="s">
        <v>7</v>
      </c>
      <c r="M5" s="12" t="s">
        <v>8</v>
      </c>
      <c r="N5" s="11" t="s">
        <v>7</v>
      </c>
      <c r="O5" s="12" t="s">
        <v>8</v>
      </c>
      <c r="P5" s="11" t="s">
        <v>7</v>
      </c>
      <c r="Q5" s="12" t="s">
        <v>8</v>
      </c>
      <c r="R5" s="11" t="s">
        <v>7</v>
      </c>
      <c r="S5" s="12" t="s">
        <v>8</v>
      </c>
      <c r="T5" s="11" t="s">
        <v>7</v>
      </c>
      <c r="U5" s="12" t="s">
        <v>8</v>
      </c>
      <c r="V5" s="11" t="s">
        <v>7</v>
      </c>
      <c r="W5" s="12" t="s">
        <v>8</v>
      </c>
      <c r="X5" s="11" t="s">
        <v>7</v>
      </c>
      <c r="Y5" s="12" t="s">
        <v>8</v>
      </c>
      <c r="Z5" s="11" t="s">
        <v>7</v>
      </c>
      <c r="AA5" s="12" t="s">
        <v>8</v>
      </c>
    </row>
    <row r="6" spans="1:30" s="24" customFormat="1" ht="18" customHeight="1" x14ac:dyDescent="0.25">
      <c r="A6" s="76">
        <v>1</v>
      </c>
      <c r="B6" s="41" t="s">
        <v>16</v>
      </c>
      <c r="C6" s="34"/>
      <c r="D6" s="35"/>
      <c r="E6" s="23"/>
    </row>
    <row r="7" spans="1:30" x14ac:dyDescent="0.25">
      <c r="A7" s="36">
        <f>IF(AND(A6=0,C7&gt;=D7),0,COUNTIF(A6,"1"))</f>
        <v>1</v>
      </c>
      <c r="B7" s="37" t="s">
        <v>24</v>
      </c>
      <c r="C7" s="38">
        <f>SUM(E7,F7,H7,J7,L7,N7,P7,R7,T7,V7,X7,Z7)-SUM(Q7,S7,U7,W7,Y7,AA7,G7,I7,K7,M7,O7)</f>
        <v>14</v>
      </c>
      <c r="D7" s="39">
        <v>50</v>
      </c>
      <c r="E7">
        <v>14</v>
      </c>
      <c r="F7" s="10" t="str">
        <f>IF($F$4&lt;1,"",IF($F$4=HLOOKUP($F$4,Sortie!$B$3:$AA$3,1,FALSE),VLOOKUP('Suivi de stock'!$B7,Entrée,2,FALSE),""))</f>
        <v/>
      </c>
      <c r="G7" s="10" t="str">
        <f>IF($F$4&lt;1,"",IF($F$4=HLOOKUP($F$4,Sortie!$B$3:$AA$3,1,FALSE),VLOOKUP('Suivi de stock'!$B7,Sortie,2,FALSE),""))</f>
        <v/>
      </c>
      <c r="H7" s="10" t="str">
        <f>IF($H$4&lt;1,"",IF($H$4=HLOOKUP($H$4,Sortie!$B$3:$AA$3,1,FALSE),VLOOKUP('Suivi de stock'!$B7,Entrée,3,FALSE),""))</f>
        <v/>
      </c>
      <c r="I7" s="10" t="str">
        <f>IF($H$4&lt;1,"",IF($H$4=HLOOKUP($H$4,Sortie!$B$3:$AA$3,1,FALSE),VLOOKUP('Suivi de stock'!$B7,Sortie,3,FALSE),""))</f>
        <v/>
      </c>
      <c r="J7" s="10" t="str">
        <f>IF($J$4&lt;1,"",IF($J$4=HLOOKUP($J$4,Sortie!$B$3:$AA$3,1,FALSE),VLOOKUP('Suivi de stock'!$B7,Entrée,3,FALSE),""))</f>
        <v/>
      </c>
      <c r="K7" s="10" t="str">
        <f>IF($J$4&lt;1,"",IF($J$4=HLOOKUP($J$4,Sortie!$B$3:$AA$3,1,FALSE),VLOOKUP('Suivi de stock'!$B7,Sortie,4,FALSE),""))</f>
        <v/>
      </c>
      <c r="L7" s="10" t="str">
        <f>IF($L$4&lt;1,"",IF($L$4=HLOOKUP($L$4,Sortie!$B$3:$AA$3,1,FALSE),VLOOKUP('Suivi de stock'!$B7,Entrée,4,FALSE),""))</f>
        <v/>
      </c>
      <c r="M7" s="10" t="str">
        <f>IF($L$4&lt;1,"",IF($L$4=HLOOKUP($L$4,Sortie!$B$3:$AA$3,1,FALSE),VLOOKUP('Suivi de stock'!$B7,Sortie,5,FALSE),""))</f>
        <v/>
      </c>
      <c r="N7" s="10" t="str">
        <f>IF($N$4&lt;1,"",IF($N$4=HLOOKUP($N$4,Sortie!$B$3:$AA$3,1,FALSE),VLOOKUP('Suivi de stock'!#REF!,Entrée,5,FALSE),""))</f>
        <v/>
      </c>
      <c r="O7" s="10" t="str">
        <f>IF($N$4&lt;1,"",IF($N$4=HLOOKUP($N$4,Sortie!$B$3:$AA$3,1,FALSE),VLOOKUP('Suivi de stock'!$B7,Sortie,6,FALSE),""))</f>
        <v/>
      </c>
      <c r="P7" s="10"/>
      <c r="Q7" s="10" t="str">
        <f>IF($P$4&lt;1,"",IF($P$4=HLOOKUP($P$4,Sortie!$B$3:$AA$3,1,FALSE),VLOOKUP('Suivi de stock'!$B7,Sortie,7,FALSE),""))</f>
        <v/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0" x14ac:dyDescent="0.25">
      <c r="A8" s="36">
        <f>IF((C8&gt;D8),0,(COUNTIF(A6:A7,1)))</f>
        <v>2</v>
      </c>
      <c r="B8" s="14" t="s">
        <v>22</v>
      </c>
      <c r="C8" s="26">
        <f t="shared" ref="C8:C34" si="0">SUM(E8,F8,H8,J8,L8,N8,P8,R8,T8,V8,X8,Z8)-SUM(Q8,S8,U8,W8,Y8,AA8,G8,I8,K8,M8,O8)</f>
        <v>25</v>
      </c>
      <c r="D8" s="27">
        <v>50</v>
      </c>
      <c r="E8">
        <v>25</v>
      </c>
      <c r="F8" s="10" t="str">
        <f>IF($F$4&lt;1,"",IF($F$4=HLOOKUP($F$4,Sortie!$B$3:$AA$3,1,FALSE),VLOOKUP('Suivi de stock'!$B8,Entrée,2,FALSE),""))</f>
        <v/>
      </c>
      <c r="G8" s="10" t="str">
        <f>IF($F$4&lt;1,"",IF($F$4=HLOOKUP($F$4,Sortie!$B$3:$AA$3,1,FALSE),VLOOKUP('Suivi de stock'!$B8,Sortie,2,FALSE),""))</f>
        <v/>
      </c>
      <c r="H8" s="10" t="str">
        <f>IF($H$4&lt;1,"",IF($H$4=HLOOKUP($H$4,Sortie!$B$3:$AA$3,1,FALSE),VLOOKUP('Suivi de stock'!$B8,Entrée,3,FALSE),""))</f>
        <v/>
      </c>
      <c r="I8" s="10" t="str">
        <f>IF($H$4&lt;1,"",IF($H$4=HLOOKUP($H$4,Sortie!$B$3:$AA$3,1,FALSE),VLOOKUP('Suivi de stock'!$B8,Sortie,3,FALSE),""))</f>
        <v/>
      </c>
      <c r="J8" s="10" t="str">
        <f>IF($J$4&lt;1,"",IF($J$4=HLOOKUP($J$4,Sortie!$B$3:$AA$3,1,FALSE),VLOOKUP('Suivi de stock'!$B8,Entrée,3,FALSE),""))</f>
        <v/>
      </c>
      <c r="K8" s="10" t="str">
        <f>IF($J$4&lt;1,"",IF($J$4=HLOOKUP($J$4,Sortie!$B$3:$AA$3,1,FALSE),VLOOKUP('Suivi de stock'!$B8,Sortie,4,FALSE),""))</f>
        <v/>
      </c>
      <c r="L8" s="10" t="str">
        <f>IF($L$4&lt;1,"",IF($L$4=HLOOKUP($L$4,Sortie!$B$3:$AA$3,1,FALSE),VLOOKUP('Suivi de stock'!$B8,Entrée,4,FALSE),""))</f>
        <v/>
      </c>
      <c r="M8" s="10" t="str">
        <f>IF($L$4&lt;1,"",IF($L$4=HLOOKUP($L$4,Sortie!$B$3:$AA$3,1,FALSE),VLOOKUP('Suivi de stock'!$B8,Sortie,5,FALSE),""))</f>
        <v/>
      </c>
      <c r="N8" s="10" t="str">
        <f>IF($N$4&lt;1,"",IF($N$4=HLOOKUP($N$4,Sortie!$B$3:$AA$3,1,FALSE),VLOOKUP('Suivi de stock'!#REF!,Entrée,5,FALSE),""))</f>
        <v/>
      </c>
      <c r="O8" s="10" t="str">
        <f>IF($N$4&lt;1,"",IF($N$4=HLOOKUP($N$4,Sortie!$B$3:$AA$3,1,FALSE),VLOOKUP('Suivi de stock'!$B8,Sortie,6,FALSE),""))</f>
        <v/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30" x14ac:dyDescent="0.25">
      <c r="A9" s="36">
        <f>IF(C9&gt;D9,0,(COUNTIF(A7:A8,1)+COUNTIF(A8,2)+1))</f>
        <v>3</v>
      </c>
      <c r="B9" s="14" t="s">
        <v>23</v>
      </c>
      <c r="C9" s="26">
        <f t="shared" si="0"/>
        <v>17</v>
      </c>
      <c r="D9" s="27">
        <v>80</v>
      </c>
      <c r="E9">
        <v>17</v>
      </c>
      <c r="F9" s="10" t="str">
        <f>IF($F$4&lt;1,"",IF($F$4=HLOOKUP($F$4,Sortie!$B$3:$AA$3,1,FALSE),VLOOKUP('Suivi de stock'!$B9,Entrée,2,FALSE),""))</f>
        <v/>
      </c>
      <c r="G9" s="10" t="str">
        <f>IF($F$4&lt;1,"",IF($F$4=HLOOKUP($F$4,Sortie!$B$3:$AA$3,1,FALSE),VLOOKUP('Suivi de stock'!$B9,Sortie,2,FALSE),""))</f>
        <v/>
      </c>
      <c r="H9" s="10" t="str">
        <f>IF($H$4&lt;1,"",IF($H$4=HLOOKUP($H$4,Sortie!$B$3:$AA$3,1,FALSE),VLOOKUP('Suivi de stock'!$B9,Entrée,3,FALSE),""))</f>
        <v/>
      </c>
      <c r="I9" s="10" t="str">
        <f>IF($H$4&lt;1,"",IF($H$4=HLOOKUP($H$4,Sortie!$B$3:$AA$3,1,FALSE),VLOOKUP('Suivi de stock'!$B9,Sortie,3,FALSE),""))</f>
        <v/>
      </c>
      <c r="J9" s="10" t="str">
        <f>IF($J$4&lt;1,"",IF($J$4=HLOOKUP($J$4,Sortie!$B$3:$AA$3,1,FALSE),VLOOKUP('Suivi de stock'!$B9,Entrée,3,FALSE),""))</f>
        <v/>
      </c>
      <c r="K9" s="10" t="str">
        <f>IF($J$4&lt;1,"",IF($J$4=HLOOKUP($J$4,Sortie!$B$3:$AA$3,1,FALSE),VLOOKUP('Suivi de stock'!$B9,Sortie,4,FALSE),""))</f>
        <v/>
      </c>
      <c r="L9" s="10" t="str">
        <f>IF($L$4&lt;1,"",IF($L$4=HLOOKUP($L$4,Sortie!$B$3:$AA$3,1,FALSE),VLOOKUP('Suivi de stock'!$B9,Entrée,4,FALSE),""))</f>
        <v/>
      </c>
      <c r="M9" s="10" t="str">
        <f>IF($L$4&lt;1,"",IF($L$4=HLOOKUP($L$4,Sortie!$B$3:$AA$3,1,FALSE),VLOOKUP('Suivi de stock'!$B9,Sortie,5,FALSE),""))</f>
        <v/>
      </c>
      <c r="N9" s="10" t="str">
        <f>IF($N$4&lt;1,"",IF($N$4=HLOOKUP($N$4,Sortie!$B$3:$AA$3,1,FALSE),VLOOKUP('Suivi de stock'!#REF!,Entrée,5,FALSE),""))</f>
        <v/>
      </c>
      <c r="O9" s="10" t="str">
        <f>IF($N$4&lt;1,"",IF($N$4=HLOOKUP($N$4,Sortie!$B$3:$AA$3,1,FALSE),VLOOKUP('Suivi de stock'!$B9,Sortie,6,FALSE),""))</f>
        <v/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30" x14ac:dyDescent="0.25">
      <c r="A10" s="36">
        <f>IF(C10&gt;D10,0,(COUNTIF($A$7:$A$9,1)+COUNTIF($A$8:$A$9,2)+COUNTIF($A$9,3)+1))</f>
        <v>0</v>
      </c>
      <c r="B10" s="14" t="s">
        <v>86</v>
      </c>
      <c r="C10" s="26">
        <f t="shared" si="0"/>
        <v>20</v>
      </c>
      <c r="D10" s="27">
        <v>5</v>
      </c>
      <c r="E10">
        <v>20</v>
      </c>
      <c r="F10" s="10"/>
      <c r="G10" s="10"/>
      <c r="H10" s="10"/>
      <c r="I10" s="10"/>
      <c r="J10" s="10"/>
      <c r="K10" s="10"/>
      <c r="L10" s="10" t="str">
        <f>IF($L$4&lt;1,"",IF($L$4=HLOOKUP($L$4,Sortie!$B$3:$AA$3,1,FALSE),VLOOKUP('Suivi de stock'!$B10,Entrée,4,FALSE),""))</f>
        <v/>
      </c>
      <c r="M10" s="10"/>
      <c r="N10" s="10" t="str">
        <f>IF($N$4&lt;1,"",IF($N$4=HLOOKUP($N$4,Sortie!$B$3:$AA$3,1,FALSE),VLOOKUP('Suivi de stock'!#REF!,Entrée,5,FALSE),""))</f>
        <v/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30" x14ac:dyDescent="0.25">
      <c r="A11" s="36">
        <f>IF(C11&gt;D11,0,(COUNTIF($A$7:$A$10,1)+COUNTIF($A$8:$A$10,2)+COUNTIF($A$9:$A$10,3)+COUNTIF($A$10,4)+1))</f>
        <v>0</v>
      </c>
      <c r="B11" s="14" t="s">
        <v>85</v>
      </c>
      <c r="C11" s="26">
        <f t="shared" si="0"/>
        <v>10</v>
      </c>
      <c r="D11" s="27">
        <v>5</v>
      </c>
      <c r="E11">
        <v>10</v>
      </c>
      <c r="F11" s="10"/>
      <c r="G11" s="10"/>
      <c r="H11" s="10"/>
      <c r="I11" s="10"/>
      <c r="J11" s="10"/>
      <c r="K11" s="10"/>
      <c r="L11" s="10" t="str">
        <f>IF($L$4&lt;1,"",IF($L$4=HLOOKUP($L$4,Sortie!$B$3:$AA$3,1,FALSE),VLOOKUP('Suivi de stock'!$B11,Entrée,4,FALSE),""))</f>
        <v/>
      </c>
      <c r="M11" s="10"/>
      <c r="N11" s="10" t="str">
        <f>IF($N$4&lt;1,"",IF($N$4=HLOOKUP($N$4,Sortie!$B$3:$AA$3,1,FALSE),VLOOKUP('Suivi de stock'!#REF!,Entrée,5,FALSE),""))</f>
        <v/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0" x14ac:dyDescent="0.25">
      <c r="A12" s="36">
        <f>IF(C12&gt;D12,0,(COUNTIF($A$7:$A$11,1)+COUNTIF($A$8:$A$11,2)+COUNTIF($A$9:$A$11,3)+COUNTIF($A$10:$A$11,4)+COUNTIF($A$11,5)+1))</f>
        <v>4</v>
      </c>
      <c r="B12" s="14" t="s">
        <v>3</v>
      </c>
      <c r="C12" s="26">
        <f t="shared" si="0"/>
        <v>8</v>
      </c>
      <c r="D12" s="27">
        <v>50</v>
      </c>
      <c r="E12">
        <v>8</v>
      </c>
      <c r="F12" s="10" t="str">
        <f>IF($F$4&lt;1,"",IF($F$4=HLOOKUP($F$4,Sortie!$B$3:$AA$3,1,FALSE),VLOOKUP('Suivi de stock'!$B12,Entrée,2,FALSE),""))</f>
        <v/>
      </c>
      <c r="G12" s="10" t="str">
        <f>IF($F$4&lt;1,"",IF($F$4=HLOOKUP($F$4,Sortie!$B$3:$AA$3,1,FALSE),VLOOKUP('Suivi de stock'!$B12,Sortie,2,FALSE),""))</f>
        <v/>
      </c>
      <c r="H12" s="10" t="str">
        <f>IF($H$4&lt;1,"",IF($H$4=HLOOKUP($H$4,Sortie!$B$3:$AA$3,1,FALSE),VLOOKUP('Suivi de stock'!$B12,Entrée,3,FALSE),""))</f>
        <v/>
      </c>
      <c r="I12" s="10" t="str">
        <f>IF($H$4&lt;1,"",IF($H$4=HLOOKUP($H$4,Sortie!$B$3:$AA$3,1,FALSE),VLOOKUP('Suivi de stock'!$B12,Sortie,3,FALSE),""))</f>
        <v/>
      </c>
      <c r="J12" s="10" t="str">
        <f>IF($J$4&lt;1,"",IF($J$4=HLOOKUP($J$4,Sortie!$B$3:$AA$3,1,FALSE),VLOOKUP('Suivi de stock'!$B12,Entrée,3,FALSE),""))</f>
        <v/>
      </c>
      <c r="K12" s="10" t="str">
        <f>IF($J$4&lt;1,"",IF($J$4=HLOOKUP($J$4,Sortie!$B$3:$AA$3,1,FALSE),VLOOKUP('Suivi de stock'!$B12,Sortie,4,FALSE),""))</f>
        <v/>
      </c>
      <c r="L12" s="10" t="str">
        <f>IF($L$4&lt;1,"",IF($L$4=HLOOKUP($L$4,Sortie!$B$3:$AA$3,1,FALSE),VLOOKUP('Suivi de stock'!$B12,Entrée,4,FALSE),""))</f>
        <v/>
      </c>
      <c r="M12" s="10" t="str">
        <f>IF($L$4&lt;1,"",IF($L$4=HLOOKUP($L$4,Sortie!$B$3:$AA$3,1,FALSE),VLOOKUP('Suivi de stock'!$B12,Sortie,5,FALSE),""))</f>
        <v/>
      </c>
      <c r="N12" s="10" t="str">
        <f>IF($N$4&lt;1,"",IF($N$4=HLOOKUP($N$4,Sortie!$B$3:$AA$3,1,FALSE),VLOOKUP('Suivi de stock'!#REF!,Entrée,5,FALSE),""))</f>
        <v/>
      </c>
      <c r="O12" s="10" t="str">
        <f>IF($N$4&lt;1,"",IF($N$4=HLOOKUP($N$4,Sortie!$B$3:$AA$3,1,FALSE),VLOOKUP('Suivi de stock'!$B12,Sortie,6,FALSE),""))</f>
        <v/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30" x14ac:dyDescent="0.25">
      <c r="A13" s="36">
        <f>IF(C13&gt;D13,0,(COUNTIF($A$7:$A$12,1)+COUNTIF($A$8:$A$12,2)+COUNTIF($A$9:$A$12,3)+COUNTIF($A$10:$A$12,4)+COUNTIF($A$11:$A$12,5)+COUNTIF($A$12,6)+1))</f>
        <v>0</v>
      </c>
      <c r="B13" s="14" t="s">
        <v>4</v>
      </c>
      <c r="C13" s="26">
        <f t="shared" si="0"/>
        <v>12</v>
      </c>
      <c r="D13" s="27">
        <v>10</v>
      </c>
      <c r="E13">
        <v>12</v>
      </c>
      <c r="F13" s="10" t="str">
        <f>IF($F$4&lt;1,"",IF($F$4=HLOOKUP($F$4,Sortie!$B$3:$AA$3,1,FALSE),VLOOKUP('Suivi de stock'!$B13,Entrée,2,FALSE),""))</f>
        <v/>
      </c>
      <c r="G13" s="10" t="str">
        <f>IF($F$4&lt;1,"",IF($F$4=HLOOKUP($F$4,Sortie!$B$3:$AA$3,1,FALSE),VLOOKUP('Suivi de stock'!$B13,Sortie,2,FALSE),""))</f>
        <v/>
      </c>
      <c r="H13" s="10" t="str">
        <f>IF($H$4&lt;1,"",IF($H$4=HLOOKUP($H$4,Sortie!$B$3:$AA$3,1,FALSE),VLOOKUP('Suivi de stock'!$B13,Entrée,3,FALSE),""))</f>
        <v/>
      </c>
      <c r="I13" s="10" t="str">
        <f>IF($H$4&lt;1,"",IF($H$4=HLOOKUP($H$4,Sortie!$B$3:$AA$3,1,FALSE),VLOOKUP('Suivi de stock'!$B13,Sortie,3,FALSE),""))</f>
        <v/>
      </c>
      <c r="J13" s="10" t="str">
        <f>IF($J$4&lt;1,"",IF($J$4=HLOOKUP($J$4,Sortie!$B$3:$AA$3,1,FALSE),VLOOKUP('Suivi de stock'!$B13,Entrée,3,FALSE),""))</f>
        <v/>
      </c>
      <c r="K13" s="10" t="str">
        <f>IF($J$4&lt;1,"",IF($J$4=HLOOKUP($J$4,Sortie!$B$3:$AA$3,1,FALSE),VLOOKUP('Suivi de stock'!$B13,Sortie,4,FALSE),""))</f>
        <v/>
      </c>
      <c r="L13" s="10" t="str">
        <f>IF($L$4&lt;1,"",IF($L$4=HLOOKUP($L$4,Sortie!$B$3:$AA$3,1,FALSE),VLOOKUP('Suivi de stock'!$B13,Entrée,4,FALSE),""))</f>
        <v/>
      </c>
      <c r="M13" s="10" t="str">
        <f>IF($L$4&lt;1,"",IF($L$4=HLOOKUP($L$4,Sortie!$B$3:$AA$3,1,FALSE),VLOOKUP('Suivi de stock'!$B13,Sortie,5,FALSE),""))</f>
        <v/>
      </c>
      <c r="N13" s="10" t="str">
        <f>IF($N$4&lt;1,"",IF($N$4=HLOOKUP($N$4,Sortie!$B$3:$AA$3,1,FALSE),VLOOKUP('Suivi de stock'!#REF!,Entrée,5,FALSE),""))</f>
        <v/>
      </c>
      <c r="O13" s="10" t="str">
        <f>IF($N$4&lt;1,"",IF($N$4=HLOOKUP($N$4,Sortie!$B$3:$AA$3,1,FALSE),VLOOKUP('Suivi de stock'!$B13,Sortie,6,FALSE),""))</f>
        <v/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C13" s="10"/>
      <c r="AD13" s="10"/>
    </row>
    <row r="14" spans="1:30" x14ac:dyDescent="0.25">
      <c r="A14" s="36">
        <f>IF(C14&gt;D14,0,(COUNTIF($A$7:$A$13,1)+COUNTIF($A$8:$A$13,2)+COUNTIF($A$9:$A$13,3)+COUNTIF($A$10:$A$13,4)+COUNTIF($A$11:$A$13,5)+COUNTIF($A$12:$A$13,6)+COUNTIF($A$13,7)+1))</f>
        <v>5</v>
      </c>
      <c r="B14" s="14" t="s">
        <v>1</v>
      </c>
      <c r="C14" s="26">
        <f t="shared" si="0"/>
        <v>25</v>
      </c>
      <c r="D14" s="27">
        <v>100</v>
      </c>
      <c r="E14">
        <v>25</v>
      </c>
      <c r="F14" s="10" t="str">
        <f>IF($F$4&lt;1,"",IF($F$4=HLOOKUP($F$4,Sortie!$B$3:$AA$3,1,FALSE),VLOOKUP('Suivi de stock'!$B14,Entrée,2,FALSE),""))</f>
        <v/>
      </c>
      <c r="G14" s="10" t="str">
        <f>IF($F$4&lt;1,"",IF($F$4=HLOOKUP($F$4,Sortie!$B$3:$AA$3,1,FALSE),VLOOKUP('Suivi de stock'!$B14,Sortie,2,FALSE),""))</f>
        <v/>
      </c>
      <c r="H14" s="10" t="str">
        <f>IF($H$4&lt;1,"",IF($H$4=HLOOKUP($H$4,Sortie!$B$3:$AA$3,1,FALSE),VLOOKUP('Suivi de stock'!$B14,Entrée,3,FALSE),""))</f>
        <v/>
      </c>
      <c r="I14" s="10" t="str">
        <f>IF($H$4&lt;1,"",IF($H$4=HLOOKUP($H$4,Sortie!$B$3:$AA$3,1,FALSE),VLOOKUP('Suivi de stock'!$B14,Sortie,3,FALSE),""))</f>
        <v/>
      </c>
      <c r="J14" s="10" t="str">
        <f>IF($J$4&lt;1,"",IF($J$4=HLOOKUP($J$4,Sortie!$B$3:$AA$3,1,FALSE),VLOOKUP('Suivi de stock'!$B14,Entrée,3,FALSE),""))</f>
        <v/>
      </c>
      <c r="K14" s="10" t="str">
        <f>IF($J$4&lt;1,"",IF($J$4=HLOOKUP($J$4,Sortie!$B$3:$AA$3,1,FALSE),VLOOKUP('Suivi de stock'!$B14,Sortie,4,FALSE),""))</f>
        <v/>
      </c>
      <c r="L14" s="10" t="str">
        <f>IF($L$4&lt;1,"",IF($L$4=HLOOKUP($L$4,Sortie!$B$3:$AA$3,1,FALSE),VLOOKUP('Suivi de stock'!$B14,Entrée,4,FALSE),""))</f>
        <v/>
      </c>
      <c r="M14" s="10" t="str">
        <f>IF($L$4&lt;1,"",IF($L$4=HLOOKUP($L$4,Sortie!$B$3:$AA$3,1,FALSE),VLOOKUP('Suivi de stock'!$B14,Sortie,5,FALSE),""))</f>
        <v/>
      </c>
      <c r="N14" s="10" t="str">
        <f>IF($N$4&lt;1,"",IF($N$4=HLOOKUP($N$4,Sortie!$B$3:$AA$3,1,FALSE),VLOOKUP('Suivi de stock'!#REF!,Entrée,5,FALSE),""))</f>
        <v/>
      </c>
      <c r="O14" s="10" t="str">
        <f>IF($N$4&lt;1,"",IF($N$4=HLOOKUP($N$4,Sortie!$B$3:$AA$3,1,FALSE),VLOOKUP('Suivi de stock'!$B14,Sortie,6,FALSE),""))</f>
        <v/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C14" s="10"/>
      <c r="AD14" s="10"/>
    </row>
    <row r="15" spans="1:30" x14ac:dyDescent="0.25">
      <c r="A15" s="36">
        <f>IF(C15&gt;D15,0,(COUNTIF($A$7:$A$14,1)+COUNTIF($A$8:$A$14,2)+COUNTIF($A$9:$A$14,3)+COUNTIF($A$10:$A$14,4)+COUNTIF($A$11:$A$14,5)+COUNTIF($A$12:$A$14,6)+COUNTIF($A$13:$A$14,7)+COUNTIF($A$14,8)+1))</f>
        <v>0</v>
      </c>
      <c r="B15" s="14" t="s">
        <v>2</v>
      </c>
      <c r="C15" s="26">
        <f t="shared" si="0"/>
        <v>30</v>
      </c>
      <c r="D15" s="27">
        <v>10</v>
      </c>
      <c r="E15">
        <v>30</v>
      </c>
      <c r="F15" s="10" t="str">
        <f>IF($F$4&lt;1,"",IF($F$4=HLOOKUP($F$4,Sortie!$B$3:$AA$3,1,FALSE),VLOOKUP('Suivi de stock'!$B15,Entrée,2,FALSE),""))</f>
        <v/>
      </c>
      <c r="G15" s="10" t="str">
        <f>IF($F$4&lt;1,"",IF($F$4=HLOOKUP($F$4,Sortie!$B$3:$AA$3,1,FALSE),VLOOKUP('Suivi de stock'!$B15,Sortie,2,FALSE),""))</f>
        <v/>
      </c>
      <c r="H15" s="10" t="str">
        <f>IF($H$4&lt;1,"",IF($H$4=HLOOKUP($H$4,Sortie!$B$3:$AA$3,1,FALSE),VLOOKUP('Suivi de stock'!$B15,Entrée,3,FALSE),""))</f>
        <v/>
      </c>
      <c r="I15" s="10" t="str">
        <f>IF($H$4&lt;1,"",IF($H$4=HLOOKUP($H$4,Sortie!$B$3:$AA$3,1,FALSE),VLOOKUP('Suivi de stock'!$B15,Sortie,3,FALSE),""))</f>
        <v/>
      </c>
      <c r="J15" s="10" t="str">
        <f>IF($J$4&lt;1,"",IF($J$4=HLOOKUP($J$4,Sortie!$B$3:$AA$3,1,FALSE),VLOOKUP('Suivi de stock'!$B15,Entrée,3,FALSE),""))</f>
        <v/>
      </c>
      <c r="K15" s="10" t="str">
        <f>IF($J$4&lt;1,"",IF($J$4=HLOOKUP($J$4,Sortie!$B$3:$AA$3,1,FALSE),VLOOKUP('Suivi de stock'!$B15,Sortie,4,FALSE),""))</f>
        <v/>
      </c>
      <c r="L15" s="10" t="str">
        <f>IF($L$4&lt;1,"",IF($L$4=HLOOKUP($L$4,Sortie!$B$3:$AA$3,1,FALSE),VLOOKUP('Suivi de stock'!$B15,Entrée,4,FALSE),""))</f>
        <v/>
      </c>
      <c r="M15" s="10" t="str">
        <f>IF($L$4&lt;1,"",IF($L$4=HLOOKUP($L$4,Sortie!$B$3:$AA$3,1,FALSE),VLOOKUP('Suivi de stock'!$B15,Sortie,5,FALSE),""))</f>
        <v/>
      </c>
      <c r="N15" s="10" t="str">
        <f>IF($N$4&lt;1,"",IF($N$4=HLOOKUP($N$4,Sortie!$B$3:$AA$3,1,FALSE),VLOOKUP('Suivi de stock'!#REF!,Entrée,5,FALSE),""))</f>
        <v/>
      </c>
      <c r="O15" s="10" t="str">
        <f>IF($N$4&lt;1,"",IF($N$4=HLOOKUP($N$4,Sortie!$B$3:$AA$3,1,FALSE),VLOOKUP('Suivi de stock'!$B15,Sortie,6,FALSE),""))</f>
        <v/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C15" s="10"/>
      <c r="AD15" s="10"/>
    </row>
    <row r="16" spans="1:30" x14ac:dyDescent="0.25">
      <c r="A16" s="36">
        <f>IF(C16&gt;D16,0,(COUNTIF($A$7:$A$15,1)+COUNTIF($A$8:$A$15,2)+COUNTIF($A$9:$A$15,3)+COUNTIF($A$10:$A$15,4)+COUNTIF($A$11:$A$15,5)+COUNTIF($A$12:$A$15,6)+COUNTIF($A$13:$A$15,7)+COUNTIF($A$14:$A$15,8)+COUNTIF($A$15,9)+1))</f>
        <v>6</v>
      </c>
      <c r="B16" s="14" t="s">
        <v>20</v>
      </c>
      <c r="C16" s="26">
        <f t="shared" si="0"/>
        <v>63</v>
      </c>
      <c r="D16" s="27">
        <v>100</v>
      </c>
      <c r="E16">
        <v>63</v>
      </c>
      <c r="F16" s="10" t="str">
        <f>IF($F$4&lt;1,"",IF($F$4=HLOOKUP($F$4,Sortie!$B$3:$AA$3,1,FALSE),VLOOKUP('Suivi de stock'!$B16,Entrée,2,FALSE),""))</f>
        <v/>
      </c>
      <c r="G16" s="10" t="str">
        <f>IF($F$4&lt;1,"",IF($F$4=HLOOKUP($F$4,Sortie!$B$3:$AA$3,1,FALSE),VLOOKUP('Suivi de stock'!$B16,Sortie,2,FALSE),""))</f>
        <v/>
      </c>
      <c r="H16" s="10" t="str">
        <f>IF($H$4&lt;1,"",IF($H$4=HLOOKUP($H$4,Sortie!$B$3:$AA$3,1,FALSE),VLOOKUP('Suivi de stock'!$B16,Entrée,3,FALSE),""))</f>
        <v/>
      </c>
      <c r="I16" s="10" t="str">
        <f>IF($H$4&lt;1,"",IF($H$4=HLOOKUP($H$4,Sortie!$B$3:$AA$3,1,FALSE),VLOOKUP('Suivi de stock'!$B16,Sortie,3,FALSE),""))</f>
        <v/>
      </c>
      <c r="J16" s="10" t="str">
        <f>IF($J$4&lt;1,"",IF($J$4=HLOOKUP($J$4,Sortie!$B$3:$AA$3,1,FALSE),VLOOKUP('Suivi de stock'!$B16,Entrée,3,FALSE),""))</f>
        <v/>
      </c>
      <c r="K16" s="10" t="str">
        <f>IF($J$4&lt;1,"",IF($J$4=HLOOKUP($J$4,Sortie!$B$3:$AA$3,1,FALSE),VLOOKUP('Suivi de stock'!$B16,Sortie,4,FALSE),""))</f>
        <v/>
      </c>
      <c r="L16" s="10" t="str">
        <f>IF($L$4&lt;1,"",IF($L$4=HLOOKUP($L$4,Sortie!$B$3:$AA$3,1,FALSE),VLOOKUP('Suivi de stock'!$B16,Entrée,4,FALSE),""))</f>
        <v/>
      </c>
      <c r="M16" s="10" t="str">
        <f>IF($L$4&lt;1,"",IF($L$4=HLOOKUP($L$4,Sortie!$B$3:$AA$3,1,FALSE),VLOOKUP('Suivi de stock'!$B16,Sortie,5,FALSE),""))</f>
        <v/>
      </c>
      <c r="N16" s="10" t="str">
        <f>IF($N$4&lt;1,"",IF($N$4=HLOOKUP($N$4,Sortie!$B$3:$AA$3,1,FALSE),VLOOKUP('Suivi de stock'!#REF!,Entrée,5,FALSE),""))</f>
        <v/>
      </c>
      <c r="O16" s="10" t="str">
        <f>IF($N$4&lt;1,"",IF($N$4=HLOOKUP($N$4,Sortie!$B$3:$AA$3,1,FALSE),VLOOKUP('Suivi de stock'!$B16,Sortie,6,FALSE),""))</f>
        <v/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0"/>
      <c r="AD16" s="10"/>
    </row>
    <row r="17" spans="1:30" x14ac:dyDescent="0.25">
      <c r="A17" s="36">
        <f>IF(C17&gt;D17,0,(COUNTIF($A$7:$A$16,1)+COUNTIF($A$8:$A$16,2)+COUNTIF($A$9:$A$16,3)+COUNTIF($A$10:$A$16,4)+COUNTIF($A$11:$A$16,5)+COUNTIF($A$12:$A$16,6)+COUNTIF($A$13:$A$16,7)+COUNTIF($A$14:$A$16,8)+COUNTIF($A$15:$A$16,9)+COUNTIF($A$16,10)+1))</f>
        <v>7</v>
      </c>
      <c r="B17" s="14" t="s">
        <v>21</v>
      </c>
      <c r="C17" s="26">
        <f t="shared" si="0"/>
        <v>24</v>
      </c>
      <c r="D17" s="27">
        <v>100</v>
      </c>
      <c r="E17">
        <v>24</v>
      </c>
      <c r="F17" s="10" t="str">
        <f>IF($F$4&lt;1,"",IF($F$4=HLOOKUP($F$4,Sortie!$B$3:$AA$3,1,FALSE),VLOOKUP('Suivi de stock'!$B17,Entrée,2,FALSE),""))</f>
        <v/>
      </c>
      <c r="G17" s="10" t="str">
        <f>IF($F$4&lt;1,"",IF($F$4=HLOOKUP($F$4,Sortie!$B$3:$AA$3,1,FALSE),VLOOKUP('Suivi de stock'!$B17,Sortie,2,FALSE),""))</f>
        <v/>
      </c>
      <c r="H17" s="10" t="str">
        <f>IF($H$4&lt;1,"",IF($H$4=HLOOKUP($H$4,Sortie!$B$3:$AA$3,1,FALSE),VLOOKUP('Suivi de stock'!$B17,Entrée,3,FALSE),""))</f>
        <v/>
      </c>
      <c r="I17" s="10" t="str">
        <f>IF($H$4&lt;1,"",IF($H$4=HLOOKUP($H$4,Sortie!$B$3:$AA$3,1,FALSE),VLOOKUP('Suivi de stock'!$B17,Sortie,3,FALSE),""))</f>
        <v/>
      </c>
      <c r="J17" s="10" t="str">
        <f>IF($J$4&lt;1,"",IF($J$4=HLOOKUP($J$4,Sortie!$B$3:$AA$3,1,FALSE),VLOOKUP('Suivi de stock'!$B17,Entrée,3,FALSE),""))</f>
        <v/>
      </c>
      <c r="K17" s="10" t="str">
        <f>IF($J$4&lt;1,"",IF($J$4=HLOOKUP($J$4,Sortie!$B$3:$AA$3,1,FALSE),VLOOKUP('Suivi de stock'!$B17,Sortie,4,FALSE),""))</f>
        <v/>
      </c>
      <c r="L17" s="10" t="str">
        <f>IF($L$4&lt;1,"",IF($L$4=HLOOKUP($L$4,Sortie!$B$3:$AA$3,1,FALSE),VLOOKUP('Suivi de stock'!$B17,Entrée,4,FALSE),""))</f>
        <v/>
      </c>
      <c r="M17" s="10" t="str">
        <f>IF($L$4&lt;1,"",IF($L$4=HLOOKUP($L$4,Sortie!$B$3:$AA$3,1,FALSE),VLOOKUP('Suivi de stock'!$B17,Sortie,5,FALSE),""))</f>
        <v/>
      </c>
      <c r="N17" s="10" t="str">
        <f>IF($N$4&lt;1,"",IF($N$4=HLOOKUP($N$4,Sortie!$B$3:$AA$3,1,FALSE),VLOOKUP('Suivi de stock'!#REF!,Entrée,5,FALSE),""))</f>
        <v/>
      </c>
      <c r="O17" s="10" t="str">
        <f>IF($N$4&lt;1,"",IF($N$4=HLOOKUP($N$4,Sortie!$B$3:$AA$3,1,FALSE),VLOOKUP('Suivi de stock'!$B17,Sortie,6,FALSE),""))</f>
        <v/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C17" s="10"/>
      <c r="AD17" s="10"/>
    </row>
    <row r="18" spans="1:30" x14ac:dyDescent="0.25">
      <c r="A18" s="36">
        <f>IF(C18&gt;D18,0,(COUNTIF($A$7:$A$16,1)+COUNTIF($A$8:$A$16,2)+COUNTIF($A$9:$A$16,3)+COUNTIF($A$10:$A$16,4)+COUNTIF($A$11:$A$16,5)+COUNTIF($A$12:$A$16,6)+COUNTIF($A$13:$A$16,7)+COUNTIF($A$14:$A$16,8)+COUNTIF($A$15:$A$16,9)+COUNTIF($A$16,10)+1))</f>
        <v>0</v>
      </c>
      <c r="B18" s="14" t="s">
        <v>6</v>
      </c>
      <c r="C18" s="26">
        <f t="shared" si="0"/>
        <v>190</v>
      </c>
      <c r="D18" s="27">
        <v>100</v>
      </c>
      <c r="E18">
        <v>190</v>
      </c>
      <c r="F18" s="10" t="str">
        <f>IF($F$4&lt;1,"",IF($F$4=HLOOKUP($F$4,Sortie!$B$3:$AA$3,1,FALSE),VLOOKUP('Suivi de stock'!$B18,Entrée,2,FALSE),""))</f>
        <v/>
      </c>
      <c r="G18" s="10" t="str">
        <f>IF($F$4&lt;1,"",IF($F$4=HLOOKUP($F$4,Sortie!$B$3:$AA$3,1,FALSE),VLOOKUP('Suivi de stock'!$B18,Sortie,2,FALSE),""))</f>
        <v/>
      </c>
      <c r="H18" s="10" t="str">
        <f>IF($H$4&lt;1,"",IF($H$4=HLOOKUP($H$4,Sortie!$B$3:$AA$3,1,FALSE),VLOOKUP('Suivi de stock'!$B18,Entrée,3,FALSE),""))</f>
        <v/>
      </c>
      <c r="I18" s="10" t="str">
        <f>IF($H$4&lt;1,"",IF($H$4=HLOOKUP($H$4,Sortie!$B$3:$AA$3,1,FALSE),VLOOKUP('Suivi de stock'!$B18,Sortie,3,FALSE),""))</f>
        <v/>
      </c>
      <c r="J18" s="10" t="str">
        <f>IF($J$4&lt;1,"",IF($J$4=HLOOKUP($J$4,Sortie!$B$3:$AA$3,1,FALSE),VLOOKUP('Suivi de stock'!$B18,Entrée,3,FALSE),""))</f>
        <v/>
      </c>
      <c r="K18" s="10" t="str">
        <f>IF($J$4&lt;1,"",IF($J$4=HLOOKUP($J$4,Sortie!$B$3:$AA$3,1,FALSE),VLOOKUP('Suivi de stock'!$B18,Sortie,4,FALSE),""))</f>
        <v/>
      </c>
      <c r="L18" s="10" t="str">
        <f>IF($L$4&lt;1,"",IF($L$4=HLOOKUP($L$4,Sortie!$B$3:$AA$3,1,FALSE),VLOOKUP('Suivi de stock'!$B18,Entrée,4,FALSE),""))</f>
        <v/>
      </c>
      <c r="M18" s="10" t="str">
        <f>IF($L$4&lt;1,"",IF($L$4=HLOOKUP($L$4,Sortie!$B$3:$AA$3,1,FALSE),VLOOKUP('Suivi de stock'!$B18,Sortie,5,FALSE),""))</f>
        <v/>
      </c>
      <c r="N18" s="10" t="str">
        <f>IF($N$4&lt;1,"",IF($N$4=HLOOKUP($N$4,Sortie!$B$3:$AA$3,1,FALSE),VLOOKUP('Suivi de stock'!#REF!,Entrée,5,FALSE),""))</f>
        <v/>
      </c>
      <c r="O18" s="10" t="str">
        <f>IF($N$4&lt;1,"",IF($N$4=HLOOKUP($N$4,Sortie!$B$3:$AA$3,1,FALSE),VLOOKUP('Suivi de stock'!$B18,Sortie,6,FALSE),""))</f>
        <v/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C18" s="10"/>
      <c r="AD18" s="10"/>
    </row>
    <row r="19" spans="1:30" x14ac:dyDescent="0.25">
      <c r="A19" s="36">
        <f>IF(C19&gt;D19,0,(COUNTIF($A$7:$A$18,1)+COUNTIF($A$8:$A$18,2)+COUNTIF($A$9:$A$18,3)+COUNTIF($A$10:$A$18,4)+COUNTIF($A$11:$A$18,5)+COUNTIF($A$12:$A$18,6)+COUNTIF($A$13:$A$18,7)+COUNTIF($A$14:$A$18,8)+COUNTIF($A$15:$A$18,9)+COUNTIF($A$16:$A$18,10)+COUNTIF($A$17:$A$18,11)+COUNTIF($A$18,12)+1))</f>
        <v>8</v>
      </c>
      <c r="B19" s="14" t="s">
        <v>5</v>
      </c>
      <c r="C19" s="26">
        <f t="shared" si="0"/>
        <v>100</v>
      </c>
      <c r="D19" s="27">
        <v>100</v>
      </c>
      <c r="E19">
        <v>100</v>
      </c>
      <c r="F19" s="10" t="str">
        <f>IF($F$4&lt;1,"",IF($F$4=HLOOKUP($F$4,Sortie!$B$3:$AA$3,1,FALSE),VLOOKUP('Suivi de stock'!$B19,Entrée,2,FALSE),""))</f>
        <v/>
      </c>
      <c r="G19" s="10" t="str">
        <f>IF($F$4&lt;1,"",IF($F$4=HLOOKUP($F$4,Sortie!$B$3:$AA$3,1,FALSE),VLOOKUP('Suivi de stock'!$B19,Sortie,2,FALSE),""))</f>
        <v/>
      </c>
      <c r="H19" s="10" t="str">
        <f>IF($H$4&lt;1,"",IF($H$4=HLOOKUP($H$4,Sortie!$B$3:$AA$3,1,FALSE),VLOOKUP('Suivi de stock'!$B19,Entrée,3,FALSE),""))</f>
        <v/>
      </c>
      <c r="I19" s="10" t="str">
        <f>IF($H$4&lt;1,"",IF($H$4=HLOOKUP($H$4,Sortie!$B$3:$AA$3,1,FALSE),VLOOKUP('Suivi de stock'!$B19,Sortie,3,FALSE),""))</f>
        <v/>
      </c>
      <c r="J19" s="10" t="str">
        <f>IF($J$4&lt;1,"",IF($J$4=HLOOKUP($J$4,Sortie!$B$3:$AA$3,1,FALSE),VLOOKUP('Suivi de stock'!$B19,Entrée,3,FALSE),""))</f>
        <v/>
      </c>
      <c r="K19" s="10" t="str">
        <f>IF($J$4&lt;1,"",IF($J$4=HLOOKUP($J$4,Sortie!$B$3:$AA$3,1,FALSE),VLOOKUP('Suivi de stock'!$B19,Sortie,4,FALSE),""))</f>
        <v/>
      </c>
      <c r="L19" s="10" t="str">
        <f>IF($L$4&lt;1,"",IF($L$4=HLOOKUP($L$4,Sortie!$B$3:$AA$3,1,FALSE),VLOOKUP('Suivi de stock'!$B19,Entrée,4,FALSE),""))</f>
        <v/>
      </c>
      <c r="M19" s="10" t="str">
        <f>IF($L$4&lt;1,"",IF($L$4=HLOOKUP($L$4,Sortie!$B$3:$AA$3,1,FALSE),VLOOKUP('Suivi de stock'!$B19,Sortie,5,FALSE),""))</f>
        <v/>
      </c>
      <c r="N19" s="10" t="str">
        <f>IF($N$4&lt;1,"",IF($N$4=HLOOKUP($N$4,Sortie!$B$3:$AA$3,1,FALSE),VLOOKUP('Suivi de stock'!#REF!,Entrée,5,FALSE),""))</f>
        <v/>
      </c>
      <c r="O19" s="10" t="str">
        <f>IF($N$4&lt;1,"",IF($N$4=HLOOKUP($N$4,Sortie!$B$3:$AA$3,1,FALSE),VLOOKUP('Suivi de stock'!$B19,Sortie,6,FALSE),""))</f>
        <v/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C19" s="10"/>
      <c r="AD19" s="10"/>
    </row>
    <row r="20" spans="1:30" x14ac:dyDescent="0.25">
      <c r="A20" s="36">
        <f>IF(C20&gt;D20,0,(COUNTIF($A$7:$A$19,1)+COUNTIF($A$8:$A$19,2)+COUNTIF($A$9:$A$19,3)+COUNTIF($A$10:$A$19,4)+COUNTIF($A$11:$A$19,5)+COUNTIF($A$12:$A$19,6)+COUNTIF($A$13:$A$19,7)+COUNTIF($A$14:$A$19,8)+COUNTIF($A$15:$A$19,9)+COUNTIF($A$16:$A$19,10)+COUNTIF($A$17:$A$19,11)+COUNTIF($A$18:$A$19,12)+COUNTIF($A$19,13)+1))</f>
        <v>9</v>
      </c>
      <c r="B20" s="14" t="s">
        <v>18</v>
      </c>
      <c r="C20" s="26">
        <f t="shared" si="0"/>
        <v>35</v>
      </c>
      <c r="D20" s="27">
        <v>100</v>
      </c>
      <c r="E20">
        <v>35</v>
      </c>
      <c r="F20" s="10" t="str">
        <f>IF($F$4&lt;1,"",IF($F$4=HLOOKUP($F$4,Sortie!$B$3:$AA$3,1,FALSE),VLOOKUP('Suivi de stock'!$B20,Entrée,2,FALSE),""))</f>
        <v/>
      </c>
      <c r="G20" s="10" t="str">
        <f>IF($F$4&lt;1,"",IF($F$4=HLOOKUP($F$4,Sortie!$B$3:$AA$3,1,FALSE),VLOOKUP('Suivi de stock'!$B20,Sortie,2,FALSE),""))</f>
        <v/>
      </c>
      <c r="H20" s="10" t="str">
        <f>IF($H$4&lt;1,"",IF($H$4=HLOOKUP($H$4,Sortie!$B$3:$AA$3,1,FALSE),VLOOKUP('Suivi de stock'!$B20,Entrée,3,FALSE),""))</f>
        <v/>
      </c>
      <c r="I20" s="10" t="str">
        <f>IF($H$4&lt;1,"",IF($H$4=HLOOKUP($H$4,Sortie!$B$3:$AA$3,1,FALSE),VLOOKUP('Suivi de stock'!$B20,Sortie,3,FALSE),""))</f>
        <v/>
      </c>
      <c r="J20" s="10" t="str">
        <f>IF($J$4&lt;1,"",IF($J$4=HLOOKUP($J$4,Sortie!$B$3:$AA$3,1,FALSE),VLOOKUP('Suivi de stock'!$B20,Entrée,3,FALSE),""))</f>
        <v/>
      </c>
      <c r="K20" s="10" t="str">
        <f>IF($J$4&lt;1,"",IF($J$4=HLOOKUP($J$4,Sortie!$B$3:$AA$3,1,FALSE),VLOOKUP('Suivi de stock'!$B20,Sortie,4,FALSE),""))</f>
        <v/>
      </c>
      <c r="L20" s="10" t="str">
        <f>IF($L$4&lt;1,"",IF($L$4=HLOOKUP($L$4,Sortie!$B$3:$AA$3,1,FALSE),VLOOKUP('Suivi de stock'!$B20,Entrée,4,FALSE),""))</f>
        <v/>
      </c>
      <c r="M20" s="10" t="str">
        <f>IF($L$4&lt;1,"",IF($L$4=HLOOKUP($L$4,Sortie!$B$3:$AA$3,1,FALSE),VLOOKUP('Suivi de stock'!$B20,Sortie,5,FALSE),""))</f>
        <v/>
      </c>
      <c r="N20" s="10" t="str">
        <f>IF($N$4&lt;1,"",IF($N$4=HLOOKUP($N$4,Sortie!$B$3:$AA$3,1,FALSE),VLOOKUP('Suivi de stock'!#REF!,Entrée,5,FALSE),""))</f>
        <v/>
      </c>
      <c r="O20" s="10" t="str">
        <f>IF($N$4&lt;1,"",IF($N$4=HLOOKUP($N$4,Sortie!$B$3:$AA$3,1,FALSE),VLOOKUP('Suivi de stock'!$B20,Sortie,6,FALSE),""))</f>
        <v/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C20" s="10"/>
      <c r="AD20" s="10"/>
    </row>
    <row r="21" spans="1:30" x14ac:dyDescent="0.25">
      <c r="A21" s="36">
        <f>IF(C21&gt;D21,0,(COUNTIF($A$7:$A$20,1)+COUNTIF($A$8:$A$20,2)+COUNTIF($A$9:$A$20,3)+COUNTIF($A$10:$A$20,4)+COUNTIF($A$11:$A$20,5)+COUNTIF($A$12:$A$20,6)+COUNTIF($A$13:$A$20,7)+COUNTIF($A$14:$A$20,8)+COUNTIF($A$15:$A$20,9)+COUNTIF($A$16:$A$20,10)+COUNTIF($A$17:$A$20,11)+COUNTIF($A$18:$A$20,12)+COUNTIF($A$19:$A$20,13)+COUNTIF(A20,14)+1))</f>
        <v>10</v>
      </c>
      <c r="B21" s="14" t="s">
        <v>17</v>
      </c>
      <c r="C21" s="26">
        <f t="shared" si="0"/>
        <v>100</v>
      </c>
      <c r="D21" s="27">
        <v>100</v>
      </c>
      <c r="E21">
        <v>100</v>
      </c>
      <c r="F21" s="10" t="str">
        <f>IF($F$4&lt;1,"",IF($F$4=HLOOKUP($F$4,Sortie!$B$3:$AA$3,1,FALSE),VLOOKUP('Suivi de stock'!$B21,Entrée,2,FALSE),""))</f>
        <v/>
      </c>
      <c r="G21" s="10" t="str">
        <f>IF($F$4&lt;1,"",IF($F$4=HLOOKUP($F$4,Sortie!$B$3:$AA$3,1,FALSE),VLOOKUP('Suivi de stock'!$B21,Sortie,2,FALSE),""))</f>
        <v/>
      </c>
      <c r="H21" s="10" t="str">
        <f>IF($H$4&lt;1,"",IF($H$4=HLOOKUP($H$4,Sortie!$B$3:$AA$3,1,FALSE),VLOOKUP('Suivi de stock'!$B21,Entrée,3,FALSE),""))</f>
        <v/>
      </c>
      <c r="I21" s="10" t="str">
        <f>IF($H$4&lt;1,"",IF($H$4=HLOOKUP($H$4,Sortie!$B$3:$AA$3,1,FALSE),VLOOKUP('Suivi de stock'!$B21,Sortie,3,FALSE),""))</f>
        <v/>
      </c>
      <c r="J21" s="10" t="str">
        <f>IF($J$4&lt;1,"",IF($J$4=HLOOKUP($J$4,Sortie!$B$3:$AA$3,1,FALSE),VLOOKUP('Suivi de stock'!$B21,Entrée,3,FALSE),""))</f>
        <v/>
      </c>
      <c r="K21" s="10" t="str">
        <f>IF($J$4&lt;1,"",IF($J$4=HLOOKUP($J$4,Sortie!$B$3:$AA$3,1,FALSE),VLOOKUP('Suivi de stock'!$B21,Sortie,4,FALSE),""))</f>
        <v/>
      </c>
      <c r="L21" s="10" t="str">
        <f>IF($L$4&lt;1,"",IF($L$4=HLOOKUP($L$4,Sortie!$B$3:$AA$3,1,FALSE),VLOOKUP('Suivi de stock'!$B21,Entrée,4,FALSE),""))</f>
        <v/>
      </c>
      <c r="M21" s="10" t="str">
        <f>IF($L$4&lt;1,"",IF($L$4=HLOOKUP($L$4,Sortie!$B$3:$AA$3,1,FALSE),VLOOKUP('Suivi de stock'!$B21,Sortie,5,FALSE),""))</f>
        <v/>
      </c>
      <c r="N21" s="10" t="str">
        <f>IF($N$4&lt;1,"",IF($N$4=HLOOKUP($N$4,Sortie!$B$3:$AA$3,1,FALSE),VLOOKUP('Suivi de stock'!#REF!,Entrée,5,FALSE),""))</f>
        <v/>
      </c>
      <c r="O21" s="10" t="str">
        <f>IF($N$4&lt;1,"",IF($N$4=HLOOKUP($N$4,Sortie!$B$3:$AA$3,1,FALSE),VLOOKUP('Suivi de stock'!$B21,Sortie,6,FALSE),""))</f>
        <v/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C21" s="10"/>
      <c r="AD21" s="10"/>
    </row>
    <row r="22" spans="1:30" x14ac:dyDescent="0.25">
      <c r="A22" s="36">
        <f>IF(C22&gt;D22,0,(COUNTIF($A$7:$A$21,1)+COUNTIF($A$8:$A$21,2)+COUNTIF($A$9:$A$21,3)+COUNTIF($A$10:$A$21,4)+COUNTIF($A$11:$A$21,5)+COUNTIF($A$12:$A$21,6)+COUNTIF($A$13:$A$21,7)+COUNTIF($A$14:$A$21,8)+COUNTIF($A$15:$A$21,9)+COUNTIF($A$16:$A$21,10)+COUNTIF($A$17:$A$21,11)+COUNTIF($A$18:$A$21,12)+COUNTIF($A$19:$A$21,13)+COUNTIF(A20:$A$21,14)+COUNTIF($A$21,15)+1))</f>
        <v>0</v>
      </c>
      <c r="B22" s="14" t="s">
        <v>80</v>
      </c>
      <c r="C22" s="26">
        <f t="shared" si="0"/>
        <v>300</v>
      </c>
      <c r="D22" s="27">
        <v>100</v>
      </c>
      <c r="E22">
        <v>300</v>
      </c>
      <c r="F22" s="10"/>
      <c r="G22" s="10"/>
      <c r="H22" s="10"/>
      <c r="I22" s="10"/>
      <c r="J22" s="10"/>
      <c r="K22" s="10"/>
      <c r="L22" s="10" t="str">
        <f>IF($L$4&lt;1,"",IF($L$4=HLOOKUP($L$4,Sortie!$B$3:$AA$3,1,FALSE),VLOOKUP('Suivi de stock'!$B22,Entrée,4,FALSE),""))</f>
        <v/>
      </c>
      <c r="M22" s="10"/>
      <c r="N22" s="10" t="str">
        <f>IF($N$4&lt;1,"",IF($N$4=HLOOKUP($N$4,Sortie!$B$3:$AA$3,1,FALSE),VLOOKUP('Suivi de stock'!#REF!,Entrée,5,FALSE),""))</f>
        <v/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C22" s="10"/>
      <c r="AD22" s="10"/>
    </row>
    <row r="23" spans="1:30" x14ac:dyDescent="0.25">
      <c r="A23" s="36">
        <f>IF(C23&gt;D23,0,(COUNTIF($A$7:$A$22,1)+COUNTIF($A$8:$A$22,2)+COUNTIF($A$9:$A$22,3)+COUNTIF($A$10:$A$22,4)+COUNTIF($A$11:$A$22,5)+COUNTIF($A$12:$A$22,6)+COUNTIF($A$13:$A$22,7)+COUNTIF($A$14:$A$22,8)+COUNTIF($A$15:$A$22,9)+COUNTIF($A$16:$A$22,10)+COUNTIF($A$17:$A$22,11)+COUNTIF($A$18:$A$22,12)+COUNTIF($A$19:$A$22,13)+COUNTIF($A$20:$A$22,14)+COUNTIF($A$21:$A$22,15)+COUNTIF($A$22,16)+1))</f>
        <v>0</v>
      </c>
      <c r="B23" s="14" t="s">
        <v>79</v>
      </c>
      <c r="C23" s="26">
        <f t="shared" si="0"/>
        <v>500</v>
      </c>
      <c r="D23" s="27">
        <v>100</v>
      </c>
      <c r="E23">
        <v>500</v>
      </c>
      <c r="F23" s="10"/>
      <c r="G23" s="10"/>
      <c r="H23" s="10"/>
      <c r="I23" s="10"/>
      <c r="J23" s="10"/>
      <c r="K23" s="10"/>
      <c r="L23" s="10" t="str">
        <f>IF($L$4&lt;1,"",IF($L$4=HLOOKUP($L$4,Sortie!$B$3:$AA$3,1,FALSE),VLOOKUP('Suivi de stock'!$B23,Entrée,4,FALSE),""))</f>
        <v/>
      </c>
      <c r="M23" s="10"/>
      <c r="N23" s="10" t="str">
        <f>IF($N$4&lt;1,"",IF($N$4=HLOOKUP($N$4,Sortie!$B$3:$AA$3,1,FALSE),VLOOKUP('Suivi de stock'!#REF!,Entrée,5,FALSE),""))</f>
        <v/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C23" s="10"/>
      <c r="AD23" s="10"/>
    </row>
    <row r="24" spans="1:30" x14ac:dyDescent="0.25">
      <c r="A24" s="36">
        <f>IF(C24&gt;D24,0,(COUNTIF($A$7:$A$23,1)+COUNTIF($A$8:$A$23,2)+COUNTIF($A$9:$A$23,3)+COUNTIF($A$10:$A$23,4)+COUNTIF($A$11:$A$23,5)+COUNTIF($A$12:$A$23,6)+COUNTIF($A$13:$A$23,7)+COUNTIF($A$14:$A$23,8)+COUNTIF($A$15:$A$23,9)+COUNTIF($A$16:$A$23,10)+COUNTIF($A$17:$A$23,11)+COUNTIF($A$18:$A$23,12)+COUNTIF($A$19:$A$23,13)+COUNTIF($A$20:$A$23,14)+COUNTIF($A$21:$A$23,15)+COUNTIF($A$22:$A$23,16)+COUNTIF($A$23,17)+1))</f>
        <v>0</v>
      </c>
      <c r="B24" s="14" t="s">
        <v>70</v>
      </c>
      <c r="C24" s="26">
        <f t="shared" si="0"/>
        <v>230</v>
      </c>
      <c r="D24" s="27">
        <v>100</v>
      </c>
      <c r="E24">
        <v>230</v>
      </c>
      <c r="F24" s="10" t="str">
        <f>IF($F$4&lt;1,"",IF($F$4=HLOOKUP($F$4,Sortie!$B$3:$AA$3,1,FALSE),VLOOKUP('Suivi de stock'!$B24,Entrée,2,FALSE),""))</f>
        <v/>
      </c>
      <c r="G24" s="10" t="str">
        <f>IF($F$4&lt;1,"",IF($F$4=HLOOKUP($F$4,Sortie!$B$3:$AA$3,1,FALSE),VLOOKUP('Suivi de stock'!$B24,Sortie,2,FALSE),""))</f>
        <v/>
      </c>
      <c r="H24" s="10" t="str">
        <f>IF($H$4&lt;1,"",IF($H$4=HLOOKUP($H$4,Sortie!$B$3:$AA$3,1,FALSE),VLOOKUP('Suivi de stock'!$B24,Entrée,3,FALSE),""))</f>
        <v/>
      </c>
      <c r="I24" s="10" t="str">
        <f>IF($H$4&lt;1,"",IF($H$4=HLOOKUP($H$4,Sortie!$B$3:$AA$3,1,FALSE),VLOOKUP('Suivi de stock'!$B24,Sortie,3,FALSE),""))</f>
        <v/>
      </c>
      <c r="J24" s="10" t="str">
        <f>IF($J$4&lt;1,"",IF($J$4=HLOOKUP($J$4,Sortie!$B$3:$AA$3,1,FALSE),VLOOKUP('Suivi de stock'!$B24,Entrée,3,FALSE),""))</f>
        <v/>
      </c>
      <c r="K24" s="10" t="str">
        <f>IF($J$4&lt;1,"",IF($J$4=HLOOKUP($J$4,Sortie!$B$3:$AA$3,1,FALSE),VLOOKUP('Suivi de stock'!$B24,Sortie,4,FALSE),""))</f>
        <v/>
      </c>
      <c r="L24" s="10" t="str">
        <f>IF($L$4&lt;1,"",IF($L$4=HLOOKUP($L$4,Sortie!$B$3:$AA$3,1,FALSE),VLOOKUP('Suivi de stock'!$B24,Entrée,4,FALSE),""))</f>
        <v/>
      </c>
      <c r="M24" s="10" t="str">
        <f>IF($L$4&lt;1,"",IF($L$4=HLOOKUP($L$4,Sortie!$B$3:$AA$3,1,FALSE),VLOOKUP('Suivi de stock'!$B24,Sortie,5,FALSE),""))</f>
        <v/>
      </c>
      <c r="N24" s="10" t="str">
        <f>IF($N$4&lt;1,"",IF($N$4=HLOOKUP($N$4,Sortie!$B$3:$AA$3,1,FALSE),VLOOKUP('Suivi de stock'!#REF!,Entrée,5,FALSE),""))</f>
        <v/>
      </c>
      <c r="O24" s="10" t="str">
        <f>IF($N$4&lt;1,"",IF($N$4=HLOOKUP($N$4,Sortie!$B$3:$AA$3,1,FALSE),VLOOKUP('Suivi de stock'!$B24,Sortie,6,FALSE),""))</f>
        <v/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C24" s="10"/>
      <c r="AD24" s="10"/>
    </row>
    <row r="25" spans="1:30" x14ac:dyDescent="0.25">
      <c r="A25" s="36">
        <f>IF(C25&gt;D25,0,(COUNTIF($A$7:$A$24,1)+COUNTIF($A$8:$A$24,2)+COUNTIF($A$9:$A$24,3)+COUNTIF($A$10:$A$24,4)+COUNTIF($A$11:$A$24,5)+COUNTIF($A$12:$A$24,6)+COUNTIF($A$13:$A$24,7)+COUNTIF($A$14:$A$24,8)+COUNTIF($A$15:$A$24,9)+COUNTIF($A$16:$A$24,10)+COUNTIF($A$17:$A$24,11)+COUNTIF($A$18:$A$24,12)+COUNTIF($A$19:$A$24,13)+COUNTIF($A$20:$A$24,14)+COUNTIF($A$21:$A$24,15)+COUNTIF($A$22:$A$24,16)+COUNTIF($A$23:$A$24,17)+COUNTIF($A$24,18)+1))</f>
        <v>11</v>
      </c>
      <c r="B25" s="14" t="s">
        <v>72</v>
      </c>
      <c r="C25" s="26">
        <f t="shared" si="0"/>
        <v>100</v>
      </c>
      <c r="D25" s="27">
        <v>100</v>
      </c>
      <c r="E25">
        <v>100</v>
      </c>
      <c r="F25" s="10" t="str">
        <f>IF($F$4&lt;1,"",IF($F$4=HLOOKUP($F$4,Sortie!$B$3:$AA$3,1,FALSE),VLOOKUP('Suivi de stock'!$B25,Entrée,2,FALSE),""))</f>
        <v/>
      </c>
      <c r="G25" s="10" t="str">
        <f>IF($F$4&lt;1,"",IF($F$4=HLOOKUP($F$4,Sortie!$B$3:$AA$3,1,FALSE),VLOOKUP('Suivi de stock'!$B25,Sortie,2,FALSE),""))</f>
        <v/>
      </c>
      <c r="H25" s="10" t="str">
        <f>IF($H$4&lt;1,"",IF($H$4=HLOOKUP($H$4,Sortie!$B$3:$AA$3,1,FALSE),VLOOKUP('Suivi de stock'!$B25,Entrée,3,FALSE),""))</f>
        <v/>
      </c>
      <c r="I25" s="10" t="str">
        <f>IF($H$4&lt;1,"",IF($H$4=HLOOKUP($H$4,Sortie!$B$3:$AA$3,1,FALSE),VLOOKUP('Suivi de stock'!$B25,Sortie,3,FALSE),""))</f>
        <v/>
      </c>
      <c r="J25" s="10" t="str">
        <f>IF($J$4&lt;1,"",IF($J$4=HLOOKUP($J$4,Sortie!$B$3:$AA$3,1,FALSE),VLOOKUP('Suivi de stock'!$B25,Entrée,3,FALSE),""))</f>
        <v/>
      </c>
      <c r="K25" s="10" t="str">
        <f>IF($J$4&lt;1,"",IF($J$4=HLOOKUP($J$4,Sortie!$B$3:$AA$3,1,FALSE),VLOOKUP('Suivi de stock'!$B25,Sortie,4,FALSE),""))</f>
        <v/>
      </c>
      <c r="L25" s="10" t="str">
        <f>IF($L$4&lt;1,"",IF($L$4=HLOOKUP($L$4,Sortie!$B$3:$AA$3,1,FALSE),VLOOKUP('Suivi de stock'!$B25,Entrée,4,FALSE),""))</f>
        <v/>
      </c>
      <c r="M25" s="10" t="str">
        <f>IF($L$4&lt;1,"",IF($L$4=HLOOKUP($L$4,Sortie!$B$3:$AA$3,1,FALSE),VLOOKUP('Suivi de stock'!$B25,Sortie,5,FALSE),""))</f>
        <v/>
      </c>
      <c r="N25" s="10" t="str">
        <f>IF($N$4&lt;1,"",IF($N$4=HLOOKUP($N$4,Sortie!$B$3:$AA$3,1,FALSE),VLOOKUP('Suivi de stock'!#REF!,Entrée,5,FALSE),""))</f>
        <v/>
      </c>
      <c r="O25" s="10" t="str">
        <f>IF($N$4&lt;1,"",IF($N$4=HLOOKUP($N$4,Sortie!$B$3:$AA$3,1,FALSE),VLOOKUP('Suivi de stock'!$B25,Sortie,6,FALSE),""))</f>
        <v/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C25" s="10"/>
      <c r="AD25" s="10"/>
    </row>
    <row r="26" spans="1:30" x14ac:dyDescent="0.25">
      <c r="A26" s="36">
        <f>IF(C26&gt;D26,0,(COUNTIF($A$7:$A$25,1)+COUNTIF($A$8:$A$25,2)+COUNTIF($A$9:$A$25,3)+COUNTIF($A$10:$A$25,4)+COUNTIF($A$11:$A$25,5)+COUNTIF($A$12:$A$25,6)+COUNTIF($A$13:$A$25,7)+COUNTIF($A$14:$A$25,8)+COUNTIF($A$15:$A$25,9)+COUNTIF($A$16:$A$25,10)+COUNTIF($A$17:$A$25,11)+COUNTIF($A$18:$A$25,12)+COUNTIF($A$19:$A$25,13)+COUNTIF($A$20:$A$25,14)+COUNTIF($A$21:$A$25,15)+COUNTIF($A$22:$A$25,16)+COUNTIF($A$23:$A$25,17)+COUNTIF($A$24:$A$25,18)+COUNTIF($A$25,19)+1))</f>
        <v>0</v>
      </c>
      <c r="B26" s="14" t="s">
        <v>82</v>
      </c>
      <c r="C26" s="26">
        <f t="shared" si="0"/>
        <v>300</v>
      </c>
      <c r="D26" s="27">
        <v>100</v>
      </c>
      <c r="E26">
        <v>300</v>
      </c>
      <c r="F26" s="10"/>
      <c r="G26" s="10"/>
      <c r="H26" s="10"/>
      <c r="I26" s="10"/>
      <c r="J26" s="10"/>
      <c r="K26" s="10"/>
      <c r="L26" s="10" t="str">
        <f>IF($L$4&lt;1,"",IF($L$4=HLOOKUP($L$4,Sortie!$B$3:$AA$3,1,FALSE),VLOOKUP('Suivi de stock'!$B26,Entrée,4,FALSE),""))</f>
        <v/>
      </c>
      <c r="M26" s="10"/>
      <c r="N26" s="10" t="str">
        <f>IF($N$4&lt;1,"",IF($N$4=HLOOKUP($N$4,Sortie!$B$3:$AA$3,1,FALSE),VLOOKUP('Suivi de stock'!#REF!,Entrée,5,FALSE),""))</f>
        <v/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C26" s="10"/>
      <c r="AD26" s="10"/>
    </row>
    <row r="27" spans="1:30" x14ac:dyDescent="0.25">
      <c r="A27" s="36">
        <f>IF(C27&gt;D27,0,(COUNTIF($A$7:$A$26,1)+COUNTIF($A$8:$A$26,2)+COUNTIF($A$9:$A$26,3)+COUNTIF($A$10:$A$26,4)+COUNTIF($A$11:$A$26,5)+COUNTIF($A$12:$A$26,6)+COUNTIF($A$13:$A$26,7)+COUNTIF($A$14:$A$26,8)+COUNTIF($A$15:$A$26,9)+COUNTIF($A$16:$A$26,10)+COUNTIF($A$17:$A$26,11)+COUNTIF($A$18:$A$26,12)+COUNTIF($A$19:$A$26,13)+COUNTIF($A$20:$A$26,14)+COUNTIF($A$21:$A$26,15)+COUNTIF($A$22:$A$26,16)+COUNTIF($A$23:$A$26,17)+COUNTIF($A$24:$A$26,18)+COUNTIF($A$25:$A$26,19)+COUNTIF($A$26,20)+1))</f>
        <v>0</v>
      </c>
      <c r="B27" s="14" t="s">
        <v>81</v>
      </c>
      <c r="C27" s="26">
        <f t="shared" si="0"/>
        <v>150</v>
      </c>
      <c r="D27" s="27">
        <v>100</v>
      </c>
      <c r="E27">
        <v>150</v>
      </c>
      <c r="F27" s="10"/>
      <c r="G27" s="10"/>
      <c r="H27" s="10"/>
      <c r="I27" s="10"/>
      <c r="J27" s="10"/>
      <c r="K27" s="10"/>
      <c r="L27" s="10" t="str">
        <f>IF($L$4&lt;1,"",IF($L$4=HLOOKUP($L$4,Sortie!$B$3:$AA$3,1,FALSE),VLOOKUP('Suivi de stock'!$B27,Entrée,4,FALSE),""))</f>
        <v/>
      </c>
      <c r="M27" s="10"/>
      <c r="N27" s="10" t="str">
        <f>IF($N$4&lt;1,"",IF($N$4=HLOOKUP($N$4,Sortie!$B$3:$AA$3,1,FALSE),VLOOKUP('Suivi de stock'!#REF!,Entrée,5,FALSE),""))</f>
        <v/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C27" s="10"/>
      <c r="AD27" s="10"/>
    </row>
    <row r="28" spans="1:30" x14ac:dyDescent="0.25">
      <c r="A28" s="36">
        <f>IF(C28&gt;D28,0,(COUNTIF($A$7:$A$27,1)+COUNTIF($A$8:$A$27,2)+COUNTIF($A$9:$A$27,3)+COUNTIF($A$10:$A$27,4)+COUNTIF($A$11:$A$27,5)+COUNTIF($A$12:$A$27,6)+COUNTIF($A$13:$A$27,7)+COUNTIF($A$14:$A$27,8)+COUNTIF($A$15:$A$27,9)+COUNTIF($A$16:$A$27,10)+COUNTIF($A$17:$A$27,11)+COUNTIF($A$18:$A$27,12)+COUNTIF($A$19:$A$27,13)+COUNTIF($A$20:$A$27,14)+COUNTIF($A$21:$A$27,15)+COUNTIF($A$22:$A$27,16)+COUNTIF($A$23:$A$27,17)+COUNTIF($A$24:$A$27,18)+COUNTIF($A$25:$A$27,19)+COUNTIF($A$26:$A$27,20)+COUNTIF($A$27,21)+1))</f>
        <v>0</v>
      </c>
      <c r="B28" s="14" t="s">
        <v>84</v>
      </c>
      <c r="C28" s="26">
        <f t="shared" si="0"/>
        <v>240</v>
      </c>
      <c r="D28" s="27">
        <v>100</v>
      </c>
      <c r="E28">
        <v>240</v>
      </c>
      <c r="F28" s="10"/>
      <c r="G28" s="10"/>
      <c r="H28" s="10"/>
      <c r="I28" s="10"/>
      <c r="J28" s="10"/>
      <c r="K28" s="10"/>
      <c r="L28" s="10" t="str">
        <f>IF($L$4&lt;1,"",IF($L$4=HLOOKUP($L$4,Sortie!$B$3:$AA$3,1,FALSE),VLOOKUP('Suivi de stock'!$B28,Entrée,4,FALSE),""))</f>
        <v/>
      </c>
      <c r="M28" s="10"/>
      <c r="N28" s="10" t="str">
        <f>IF($N$4&lt;1,"",IF($N$4=HLOOKUP($N$4,Sortie!$B$3:$AA$3,1,FALSE),VLOOKUP('Suivi de stock'!#REF!,Entrée,5,FALSE),""))</f>
        <v/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C28" s="10"/>
      <c r="AD28" s="10"/>
    </row>
    <row r="29" spans="1:30" x14ac:dyDescent="0.25">
      <c r="A29" s="36">
        <f>IF(C29&gt;D29,0,(COUNTIF($A$7:$A$28,1)+COUNTIF($A$8:$A$28,2)+COUNTIF($A$9:$A$28,3)+COUNTIF($A$10:$A$28,4)+COUNTIF($A$11:$A$28,5)+COUNTIF($A$12:$A$28,6)+COUNTIF($A$13:$A$28,7)+COUNTIF($A$14:$A$28,8)+COUNTIF($A$15:$A$28,9)+COUNTIF($A$16:$A$28,10)+COUNTIF($A$17:$A$28,11)+COUNTIF($A$18:$A$28,12)+COUNTIF($A$19:$A$28,13)+COUNTIF($A$20:$A$28,14)+COUNTIF($A$21:$A$28,15)+COUNTIF($A$22:$A$28,16)+COUNTIF($A$23:$A$28,17)+COUNTIF($A$24:$A$28,18)+COUNTIF($A$25:$A$28,19)+COUNTIF($A$26:$A$28,20)+COUNTIF($A$27:$A$28,21)+COUNTIF($A$28,22)+1))</f>
        <v>0</v>
      </c>
      <c r="B29" s="14" t="s">
        <v>83</v>
      </c>
      <c r="C29" s="26">
        <f t="shared" si="0"/>
        <v>230</v>
      </c>
      <c r="D29" s="27">
        <v>100</v>
      </c>
      <c r="E29">
        <v>230</v>
      </c>
      <c r="F29" s="10"/>
      <c r="G29" s="10"/>
      <c r="H29" s="10"/>
      <c r="I29" s="10"/>
      <c r="J29" s="10"/>
      <c r="K29" s="10"/>
      <c r="L29" s="10" t="str">
        <f>IF($L$4&lt;1,"",IF($L$4=HLOOKUP($L$4,Sortie!$B$3:$AA$3,1,FALSE),VLOOKUP('Suivi de stock'!$B29,Entrée,4,FALSE),""))</f>
        <v/>
      </c>
      <c r="M29" s="10"/>
      <c r="N29" s="10" t="str">
        <f>IF($N$4&lt;1,"",IF($N$4=HLOOKUP($N$4,Sortie!$B$3:$AA$3,1,FALSE),VLOOKUP('Suivi de stock'!$B1,Entrée,5,FALSE),""))</f>
        <v/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C29" s="10"/>
      <c r="AD29" s="10"/>
    </row>
    <row r="30" spans="1:30" x14ac:dyDescent="0.25">
      <c r="A30" s="36">
        <f>IF(C30&gt;D30,0,(COUNTIF($A$7:$A$29,1)+COUNTIF($A$8:$A$29,2)+COUNTIF($A$9:$A$29,3)+COUNTIF($A$10:$A$29,4)+COUNTIF($A$11:$A$29,5)+COUNTIF($A$12:$A$29,6)+COUNTIF($A$13:$A$29,7)+COUNTIF($A$14:$A$29,8)+COUNTIF($A$15:$A$29,9)+COUNTIF($A$16:$A$29,10)+COUNTIF($A$17:$A$29,11)+COUNTIF($A$18:$A$29,12)+COUNTIF($A$19:$A$29,13)+COUNTIF($A$20:$A$29,14)+COUNTIF($A$21:$A$29,15)+COUNTIF($A$22:$A$29,16)+COUNTIF($A$23:$A$29,17)+COUNTIF($A$24:$A$29,18)+COUNTIF($A$25:$A$29,19)+COUNTIF($A$26:$A$29,20)+COUNTIF($A$27:$A$29,21)+COUNTIF($A$28:$A$29,22)+COUNTIF($A$29,23)+1))</f>
        <v>12</v>
      </c>
      <c r="B30" s="14" t="s">
        <v>71</v>
      </c>
      <c r="C30" s="26">
        <f t="shared" si="0"/>
        <v>40</v>
      </c>
      <c r="D30" s="27">
        <v>100</v>
      </c>
      <c r="E30">
        <v>40</v>
      </c>
      <c r="F30" s="10" t="str">
        <f>IF($F$4&lt;1,"",IF($F$4=HLOOKUP($F$4,Sortie!$B$3:$AA$3,1,FALSE),VLOOKUP('Suivi de stock'!$B30,Entrée,2,FALSE),""))</f>
        <v/>
      </c>
      <c r="G30" s="10" t="str">
        <f>IF($F$4&lt;1,"",IF($F$4=HLOOKUP($F$4,Sortie!$B$3:$AA$3,1,FALSE),VLOOKUP('Suivi de stock'!$B30,Sortie,2,FALSE),""))</f>
        <v/>
      </c>
      <c r="H30" s="10" t="str">
        <f>IF($H$4&lt;1,"",IF($H$4=HLOOKUP($H$4,Sortie!$B$3:$AA$3,1,FALSE),VLOOKUP('Suivi de stock'!$B30,Entrée,3,FALSE),""))</f>
        <v/>
      </c>
      <c r="I30" s="10" t="str">
        <f>IF($H$4&lt;1,"",IF($H$4=HLOOKUP($H$4,Sortie!$B$3:$AA$3,1,FALSE),VLOOKUP('Suivi de stock'!$B30,Sortie,3,FALSE),""))</f>
        <v/>
      </c>
      <c r="J30" s="10" t="str">
        <f>IF($J$4&lt;1,"",IF($J$4=HLOOKUP($J$4,Sortie!$B$3:$AA$3,1,FALSE),VLOOKUP('Suivi de stock'!$B30,Entrée,3,FALSE),""))</f>
        <v/>
      </c>
      <c r="K30" s="10" t="str">
        <f>IF($J$4&lt;1,"",IF($J$4=HLOOKUP($J$4,Sortie!$B$3:$AA$3,1,FALSE),VLOOKUP('Suivi de stock'!$B30,Sortie,4,FALSE),""))</f>
        <v/>
      </c>
      <c r="L30" s="10" t="str">
        <f>IF($L$4&lt;1,"",IF($L$4=HLOOKUP($L$4,Sortie!$B$3:$AA$3,1,FALSE),VLOOKUP('Suivi de stock'!$B30,Entrée,4,FALSE),""))</f>
        <v/>
      </c>
      <c r="M30" s="10" t="str">
        <f>IF($L$4&lt;1,"",IF($L$4=HLOOKUP($L$4,Sortie!$B$3:$AA$3,1,FALSE),VLOOKUP('Suivi de stock'!$B30,Sortie,5,FALSE),""))</f>
        <v/>
      </c>
      <c r="N30" s="10" t="str">
        <f>IF($N$4&lt;1,"",IF($N$4=HLOOKUP($N$4,Sortie!$B$3:$AA$3,1,FALSE),VLOOKUP('Suivi de stock'!$B2,Entrée,5,FALSE),""))</f>
        <v/>
      </c>
      <c r="O30" s="10" t="str">
        <f>IF($N$4&lt;1,"",IF($N$4=HLOOKUP($N$4,Sortie!$B$3:$AA$3,1,FALSE),VLOOKUP('Suivi de stock'!$B30,Sortie,6,FALSE),""))</f>
        <v/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C30" s="10"/>
      <c r="AD30" s="10"/>
    </row>
    <row r="31" spans="1:30" x14ac:dyDescent="0.25">
      <c r="A31" s="36">
        <f>IF(C31&gt;D31,0,(COUNTIF($A$7:$A$29,1)+COUNTIF($A$8:$A$29,2)+COUNTIF($A$9:$A$29,3)+COUNTIF($A$10:$A$29,4)+COUNTIF($A$11:$A$29,5)+COUNTIF($A$12:$A$29,6)+COUNTIF($A$13:$A$29,7)+COUNTIF($A$14:$A$30,8)+COUNTIF($A$15:$A$30,9)+COUNTIF($A$16:$A$30,10)+COUNTIF($A$17:$A$30,11)+COUNTIF($A$18:$A$30,12)+COUNTIF($A$19:$A$30,13)+COUNTIF($A$20:$A$30,14)+COUNTIF($A$21:$A$30,15)+COUNTIF($A$22:$A$30,16)+COUNTIF($A$23:$A$30,17)+COUNTIF($A$24:$A$30,18)+COUNTIF($A$25:$A$30,19)+COUNTIF($A$26:$A$30,20)+COUNTIF($A$27:$A$30,21)+COUNTIF($A$28:$A$30,22)+COUNTIF($A$29:$A$30,23)+COUNTIF($A$30,24)+1))</f>
        <v>13</v>
      </c>
      <c r="B31" s="14" t="s">
        <v>73</v>
      </c>
      <c r="C31" s="26">
        <f t="shared" si="0"/>
        <v>63</v>
      </c>
      <c r="D31" s="27">
        <v>100</v>
      </c>
      <c r="E31">
        <v>63</v>
      </c>
      <c r="F31" s="10" t="str">
        <f>IF($F$4&lt;1,"",IF($F$4=HLOOKUP($F$4,Sortie!$B$3:$AA$3,1,FALSE),VLOOKUP('Suivi de stock'!$B31,Entrée,2,FALSE),""))</f>
        <v/>
      </c>
      <c r="G31" s="10" t="str">
        <f>IF($F$4&lt;1,"",IF($F$4=HLOOKUP($F$4,Sortie!$B$3:$AA$3,1,FALSE),VLOOKUP('Suivi de stock'!$B31,Sortie,2,FALSE),""))</f>
        <v/>
      </c>
      <c r="H31" s="10" t="str">
        <f>IF($H$4&lt;1,"",IF($H$4=HLOOKUP($H$4,Sortie!$B$3:$AA$3,1,FALSE),VLOOKUP('Suivi de stock'!$B31,Entrée,3,FALSE),""))</f>
        <v/>
      </c>
      <c r="I31" s="10" t="str">
        <f>IF($H$4&lt;1,"",IF($H$4=HLOOKUP($H$4,Sortie!$B$3:$AA$3,1,FALSE),VLOOKUP('Suivi de stock'!$B31,Sortie,3,FALSE),""))</f>
        <v/>
      </c>
      <c r="J31" s="10" t="str">
        <f>IF($J$4&lt;1,"",IF($J$4=HLOOKUP($J$4,Sortie!$B$3:$AA$3,1,FALSE),VLOOKUP('Suivi de stock'!$B31,Entrée,3,FALSE),""))</f>
        <v/>
      </c>
      <c r="K31" s="10" t="str">
        <f>IF($J$4&lt;1,"",IF($J$4=HLOOKUP($J$4,Sortie!$B$3:$AA$3,1,FALSE),VLOOKUP('Suivi de stock'!$B31,Sortie,4,FALSE),""))</f>
        <v/>
      </c>
      <c r="L31" s="10" t="str">
        <f>IF($L$4&lt;1,"",IF($L$4=HLOOKUP($L$4,Sortie!$B$3:$AA$3,1,FALSE),VLOOKUP('Suivi de stock'!$B31,Entrée,4,FALSE),""))</f>
        <v/>
      </c>
      <c r="M31" s="10" t="str">
        <f>IF($L$4&lt;1,"",IF($L$4=HLOOKUP($L$4,Sortie!$B$3:$AA$3,1,FALSE),VLOOKUP('Suivi de stock'!$B31,Sortie,5,FALSE),""))</f>
        <v/>
      </c>
      <c r="N31" s="10" t="str">
        <f>IF($N$4&lt;1,"",IF($N$4=HLOOKUP($N$4,Sortie!$B$3:$AA$3,1,FALSE),VLOOKUP('Suivi de stock'!$B3,Entrée,5,FALSE),""))</f>
        <v/>
      </c>
      <c r="O31" s="10" t="str">
        <f>IF($N$4&lt;1,"",IF($N$4=HLOOKUP($N$4,Sortie!$B$3:$AA$3,1,FALSE),VLOOKUP('Suivi de stock'!$B31,Sortie,6,FALSE),""))</f>
        <v/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C31" s="10"/>
      <c r="AD31" s="10"/>
    </row>
    <row r="32" spans="1:30" x14ac:dyDescent="0.25">
      <c r="A32" s="36">
        <f>IF(C32&gt;D32,0,(COUNTIF($A$7:$A$29,1)+COUNTIF($A$8:$A$29,2)+COUNTIF($A$9:$A$29,3)+COUNTIF($A$10:$A$29,4)+COUNTIF($A$11:$A$29,5)+COUNTIF($A$12:$A$29,6)+COUNTIF($A$13:$A$29,7)+COUNTIF($A$14:$A$30,8)+COUNTIF($A$15:$A$30,9)+COUNTIF($A$16:$A$30,10)+COUNTIF($A$17:$A$30,11)+COUNTIF($A$18:$A$30,12)+COUNTIF($A$19:$A$30,13)+COUNTIF($A$20:$A$30,14)+COUNTIF($A$21:$A$30,15)+COUNTIF($A$22:$A$30,16)+COUNTIF($A$23:$A$30,17)+COUNTIF($A$24:$A$30,18)+COUNTIF($A$25:$A$30,19)+COUNTIF($A$26:$A$30,20)+COUNTIF($A$27:$A$30,21)+COUNTIF($A$28:$A$30,22)+COUNTIF($A$29:$A$30,23)+COUNTIF($A$30,24)+1))</f>
        <v>13</v>
      </c>
      <c r="B32" s="14" t="s">
        <v>74</v>
      </c>
      <c r="C32" s="26">
        <f t="shared" si="0"/>
        <v>24</v>
      </c>
      <c r="D32" s="27">
        <v>100</v>
      </c>
      <c r="E32">
        <v>24</v>
      </c>
      <c r="F32" s="10" t="str">
        <f>IF($F$4&lt;1,"",IF($F$4=HLOOKUP($F$4,Sortie!$B$3:$AA$3,1,FALSE),VLOOKUP('Suivi de stock'!$B32,Entrée,2,FALSE),""))</f>
        <v/>
      </c>
      <c r="G32" s="10" t="str">
        <f>IF($F$4&lt;1,"",IF($F$4=HLOOKUP($F$4,Sortie!$B$3:$AA$3,1,FALSE),VLOOKUP('Suivi de stock'!$B32,Sortie,2,FALSE),""))</f>
        <v/>
      </c>
      <c r="H32" s="10" t="str">
        <f>IF($H$4&lt;1,"",IF($H$4=HLOOKUP($H$4,Sortie!$B$3:$AA$3,1,FALSE),VLOOKUP('Suivi de stock'!$B32,Entrée,3,FALSE),""))</f>
        <v/>
      </c>
      <c r="I32" s="10" t="str">
        <f>IF($H$4&lt;1,"",IF($H$4=HLOOKUP($H$4,Sortie!$B$3:$AA$3,1,FALSE),VLOOKUP('Suivi de stock'!$B32,Sortie,3,FALSE),""))</f>
        <v/>
      </c>
      <c r="J32" s="10" t="str">
        <f>IF($J$4&lt;1,"",IF($J$4=HLOOKUP($J$4,Sortie!$B$3:$AA$3,1,FALSE),VLOOKUP('Suivi de stock'!$B32,Entrée,3,FALSE),""))</f>
        <v/>
      </c>
      <c r="K32" s="10" t="str">
        <f>IF($J$4&lt;1,"",IF($J$4=HLOOKUP($J$4,Sortie!$B$3:$AA$3,1,FALSE),VLOOKUP('Suivi de stock'!$B32,Sortie,4,FALSE),""))</f>
        <v/>
      </c>
      <c r="L32" s="10" t="str">
        <f>IF($L$4&lt;1,"",IF($L$4=HLOOKUP($L$4,Sortie!$B$3:$AA$3,1,FALSE),VLOOKUP('Suivi de stock'!$B32,Entrée,4,FALSE),""))</f>
        <v/>
      </c>
      <c r="M32" s="10" t="str">
        <f>IF($L$4&lt;1,"",IF($L$4=HLOOKUP($L$4,Sortie!$B$3:$AA$3,1,FALSE),VLOOKUP('Suivi de stock'!$B32,Sortie,5,FALSE),""))</f>
        <v/>
      </c>
      <c r="N32" s="10" t="str">
        <f>IF($N$4&lt;1,"",IF($N$4=HLOOKUP($N$4,Sortie!$B$3:$AA$3,1,FALSE),VLOOKUP('Suivi de stock'!$B4,Entrée,5,FALSE),""))</f>
        <v/>
      </c>
      <c r="O32" s="10" t="str">
        <f>IF($N$4&lt;1,"",IF($N$4=HLOOKUP($N$4,Sortie!$B$3:$AA$3,1,FALSE),VLOOKUP('Suivi de stock'!$B32,Sortie,6,FALSE),""))</f>
        <v/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C32" s="10"/>
      <c r="AD32" s="10"/>
    </row>
    <row r="33" spans="1:30" x14ac:dyDescent="0.25">
      <c r="A33" s="36">
        <f t="shared" ref="A33:A35" si="1">IF(C33&gt;D33,0,(COUNTIF($A$7:$A$25,1)+COUNTIF($A$8:$A$25,2)+COUNTIF($A$9:$A$25,3)+COUNTIF($A$10:$A$25,4)+COUNTIF($A$11:$A$25,5)+COUNTIF($A$12:$A$25,6)+COUNTIF($A$13:$A$25,7)+COUNTIF($A$14:$A$25,8)+COUNTIF($A$15:$A$25,9)+COUNTIF($A$16:$A$25,10)+COUNTIF($A$17:$A$25,11)+COUNTIF($A$18:$A$25,12)+COUNTIF($A$19:$A$25,13)+COUNTIF($A$20:$A$25,14)+COUNTIF($A$21:$A$25,15)+COUNTIF($A$22:$A$25,16)+COUNTIF($A$23:$A$25,17)+COUNTIF($A$24:$A$25,18)+COUNTIF($A$25,19)+1))</f>
        <v>12</v>
      </c>
      <c r="B33" s="14" t="s">
        <v>75</v>
      </c>
      <c r="C33" s="26">
        <f t="shared" si="0"/>
        <v>60</v>
      </c>
      <c r="D33" s="27">
        <v>100</v>
      </c>
      <c r="E33">
        <v>60</v>
      </c>
      <c r="F33" s="10" t="str">
        <f>IF($F$4&lt;1,"",IF($F$4=HLOOKUP($F$4,Sortie!$B$3:$AA$3,1,FALSE),VLOOKUP('Suivi de stock'!$B33,Entrée,2,FALSE),""))</f>
        <v/>
      </c>
      <c r="G33" s="10" t="str">
        <f>IF($F$4&lt;1,"",IF($F$4=HLOOKUP($F$4,Sortie!$B$3:$AA$3,1,FALSE),VLOOKUP('Suivi de stock'!$B33,Sortie,2,FALSE),""))</f>
        <v/>
      </c>
      <c r="H33" s="10" t="str">
        <f>IF($H$4&lt;1,"",IF($H$4=HLOOKUP($H$4,Sortie!$B$3:$AA$3,1,FALSE),VLOOKUP('Suivi de stock'!$B33,Entrée,3,FALSE),""))</f>
        <v/>
      </c>
      <c r="I33" s="10" t="str">
        <f>IF($H$4&lt;1,"",IF($H$4=HLOOKUP($H$4,Sortie!$B$3:$AA$3,1,FALSE),VLOOKUP('Suivi de stock'!$B33,Sortie,3,FALSE),""))</f>
        <v/>
      </c>
      <c r="J33" s="10" t="str">
        <f>IF($J$4&lt;1,"",IF($J$4=HLOOKUP($J$4,Sortie!$B$3:$AA$3,1,FALSE),VLOOKUP('Suivi de stock'!$B33,Entrée,3,FALSE),""))</f>
        <v/>
      </c>
      <c r="K33" s="10" t="str">
        <f>IF($J$4&lt;1,"",IF($J$4=HLOOKUP($J$4,Sortie!$B$3:$AA$3,1,FALSE),VLOOKUP('Suivi de stock'!$B33,Sortie,4,FALSE),""))</f>
        <v/>
      </c>
      <c r="L33" s="10" t="str">
        <f>IF($L$4&lt;1,"",IF($L$4=HLOOKUP($L$4,Sortie!$B$3:$AA$3,1,FALSE),VLOOKUP('Suivi de stock'!$B33,Entrée,4,FALSE),""))</f>
        <v/>
      </c>
      <c r="M33" s="10" t="str">
        <f>IF($L$4&lt;1,"",IF($L$4=HLOOKUP($L$4,Sortie!$B$3:$AA$3,1,FALSE),VLOOKUP('Suivi de stock'!$B33,Sortie,5,FALSE),""))</f>
        <v/>
      </c>
      <c r="N33" s="10" t="str">
        <f>IF($N$4&lt;1,"",IF($N$4=HLOOKUP($N$4,Sortie!$B$3:$AA$3,1,FALSE),VLOOKUP('Suivi de stock'!$B5,Entrée,5,FALSE),""))</f>
        <v/>
      </c>
      <c r="O33" s="10" t="str">
        <f>IF($N$4&lt;1,"",IF($N$4=HLOOKUP($N$4,Sortie!$B$3:$AA$3,1,FALSE),VLOOKUP('Suivi de stock'!$B33,Sortie,6,FALSE),""))</f>
        <v/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C33" s="10"/>
      <c r="AD33" s="10"/>
    </row>
    <row r="34" spans="1:30" x14ac:dyDescent="0.25">
      <c r="A34" s="36">
        <f t="shared" si="1"/>
        <v>12</v>
      </c>
      <c r="B34" s="14" t="s">
        <v>76</v>
      </c>
      <c r="C34" s="26">
        <f t="shared" si="0"/>
        <v>20</v>
      </c>
      <c r="D34" s="27">
        <v>100</v>
      </c>
      <c r="E34">
        <v>20</v>
      </c>
      <c r="F34" s="10" t="str">
        <f>IF($F$4&lt;1,"",IF($F$4=HLOOKUP($F$4,Sortie!$B$3:$AA$3,1,FALSE),VLOOKUP('Suivi de stock'!$B34,Entrée,2,FALSE),""))</f>
        <v/>
      </c>
      <c r="G34" s="10" t="str">
        <f>IF($F$4&lt;1,"",IF($F$4=HLOOKUP($F$4,Sortie!$B$3:$AA$3,1,FALSE),VLOOKUP('Suivi de stock'!$B34,Sortie,2,FALSE),""))</f>
        <v/>
      </c>
      <c r="H34" s="10" t="str">
        <f>IF($H$4&lt;1,"",IF($H$4=HLOOKUP($H$4,Sortie!$B$3:$AA$3,1,FALSE),VLOOKUP('Suivi de stock'!$B34,Entrée,3,FALSE),""))</f>
        <v/>
      </c>
      <c r="I34" s="10" t="str">
        <f>IF($H$4&lt;1,"",IF($H$4=HLOOKUP($H$4,Sortie!$B$3:$AA$3,1,FALSE),VLOOKUP('Suivi de stock'!$B34,Sortie,3,FALSE),""))</f>
        <v/>
      </c>
      <c r="J34" s="10" t="str">
        <f>IF($J$4&lt;1,"",IF($J$4=HLOOKUP($J$4,Sortie!$B$3:$AA$3,1,FALSE),VLOOKUP('Suivi de stock'!$B34,Entrée,3,FALSE),""))</f>
        <v/>
      </c>
      <c r="K34" s="10" t="str">
        <f>IF($J$4&lt;1,"",IF($J$4=HLOOKUP($J$4,Sortie!$B$3:$AA$3,1,FALSE),VLOOKUP('Suivi de stock'!$B34,Sortie,4,FALSE),""))</f>
        <v/>
      </c>
      <c r="L34" s="10" t="str">
        <f>IF($L$4&lt;1,"",IF($L$4=HLOOKUP($L$4,Sortie!$B$3:$AA$3,1,FALSE),VLOOKUP('Suivi de stock'!$B34,Entrée,4,FALSE),""))</f>
        <v/>
      </c>
      <c r="M34" s="10" t="str">
        <f>IF($L$4&lt;1,"",IF($L$4=HLOOKUP($L$4,Sortie!$B$3:$AA$3,1,FALSE),VLOOKUP('Suivi de stock'!$B34,Sortie,5,FALSE),""))</f>
        <v/>
      </c>
      <c r="N34" s="10" t="str">
        <f>IF($N$4&lt;1,"",IF($N$4=HLOOKUP($N$4,Sortie!$B$3:$AA$3,1,FALSE),VLOOKUP('Suivi de stock'!$B6,Entrée,5,FALSE),""))</f>
        <v/>
      </c>
      <c r="O34" s="10" t="str">
        <f>IF($N$4&lt;1,"",IF($N$4=HLOOKUP($N$4,Sortie!$B$3:$AA$3,1,FALSE),VLOOKUP('Suivi de stock'!$B34,Sortie,6,FALSE),""))</f>
        <v/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C34" s="10"/>
      <c r="AD34" s="10"/>
    </row>
    <row r="35" spans="1:30" x14ac:dyDescent="0.25">
      <c r="A35" s="36">
        <f t="shared" si="1"/>
        <v>12</v>
      </c>
      <c r="B35" s="14" t="s">
        <v>77</v>
      </c>
      <c r="C35" s="26">
        <f>SUM(E35,F35,H35,J35,L35,N35,P35,R35,T35,V35,X35,Z35)-SUM(Q35,S35,U35,W35,Y35,AA35,G35,I35,K35,M35,O35)</f>
        <v>14</v>
      </c>
      <c r="D35" s="27">
        <v>100</v>
      </c>
      <c r="E35">
        <v>14</v>
      </c>
      <c r="F35" s="10" t="str">
        <f>IF($F$4&lt;1,"",IF($F$4=HLOOKUP($F$4,Sortie!$B$3:$AA$3,1,FALSE),VLOOKUP('Suivi de stock'!$B35,Entrée,2,FALSE),""))</f>
        <v/>
      </c>
      <c r="G35" s="10" t="str">
        <f>IF($F$4&lt;1,"",IF($F$4=HLOOKUP($F$4,Sortie!$B$3:$AA$3,1,FALSE),VLOOKUP('Suivi de stock'!$B35,Sortie,2,FALSE),""))</f>
        <v/>
      </c>
      <c r="H35" s="10" t="str">
        <f>IF($H$4&lt;1,"",IF($H$4=HLOOKUP($H$4,Sortie!$B$3:$AA$3,1,FALSE),VLOOKUP('Suivi de stock'!$B35,Entrée,3,FALSE),""))</f>
        <v/>
      </c>
      <c r="I35" s="10" t="str">
        <f>IF($H$4&lt;1,"",IF($H$4=HLOOKUP($H$4,Sortie!$B$3:$AA$3,1,FALSE),VLOOKUP('Suivi de stock'!$B35,Sortie,3,FALSE),""))</f>
        <v/>
      </c>
      <c r="J35" s="10" t="str">
        <f>IF($J$4&lt;1,"",IF($J$4=HLOOKUP($J$4,Sortie!$B$3:$AA$3,1,FALSE),VLOOKUP('Suivi de stock'!$B35,Entrée,3,FALSE),""))</f>
        <v/>
      </c>
      <c r="K35" s="10" t="str">
        <f>IF($J$4&lt;1,"",IF($J$4=HLOOKUP($J$4,Sortie!$B$3:$AA$3,1,FALSE),VLOOKUP('Suivi de stock'!$B35,Sortie,4,FALSE),""))</f>
        <v/>
      </c>
      <c r="L35" s="10" t="str">
        <f>IF($L$4&lt;1,"",IF($L$4=HLOOKUP($L$4,Sortie!$B$3:$AA$3,1,FALSE),VLOOKUP('Suivi de stock'!$B35,Entrée,4,FALSE),""))</f>
        <v/>
      </c>
      <c r="M35" s="10" t="str">
        <f>IF($L$4&lt;1,"",IF($L$4=HLOOKUP($L$4,Sortie!$B$3:$AA$3,1,FALSE),VLOOKUP('Suivi de stock'!$B35,Sortie,5,FALSE),""))</f>
        <v/>
      </c>
      <c r="N35" s="10" t="str">
        <f>IF($N$4&lt;1,"",IF($N$4=HLOOKUP($N$4,Sortie!$B$3:$AA$3,1,FALSE),VLOOKUP('Suivi de stock'!$B7,Entrée,5,FALSE),""))</f>
        <v/>
      </c>
      <c r="O35" s="10" t="str">
        <f>IF($N$4&lt;1,"",IF($N$4=HLOOKUP($N$4,Sortie!$B$3:$AA$3,1,FALSE),VLOOKUP('Suivi de stock'!$B35,Sortie,6,FALSE),""))</f>
        <v/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C35" s="10"/>
      <c r="AD35" s="10"/>
    </row>
    <row r="36" spans="1:30" s="80" customFormat="1" x14ac:dyDescent="0.25">
      <c r="A36" s="77"/>
      <c r="B36" s="83"/>
      <c r="C36" s="78"/>
      <c r="D36" s="79"/>
      <c r="F36" s="81"/>
      <c r="G36" s="81"/>
      <c r="H36" s="82"/>
      <c r="I36" s="81"/>
      <c r="AC36" s="81"/>
      <c r="AD36" s="81"/>
    </row>
    <row r="37" spans="1:30" x14ac:dyDescent="0.25">
      <c r="A37" s="25"/>
      <c r="B37" s="84"/>
      <c r="C37" s="26"/>
      <c r="D37" s="27"/>
      <c r="F37" s="10"/>
      <c r="G37" s="10"/>
      <c r="H37" s="3"/>
      <c r="I37" s="3"/>
      <c r="AC37" s="10"/>
      <c r="AD37" s="10"/>
    </row>
    <row r="38" spans="1:30" x14ac:dyDescent="0.25">
      <c r="A38" s="25"/>
      <c r="B38" s="84"/>
      <c r="C38" s="26"/>
      <c r="D38" s="27"/>
      <c r="F38" s="10"/>
      <c r="G38" s="10"/>
      <c r="H38" s="3"/>
      <c r="I38" s="3"/>
      <c r="AC38" s="10"/>
      <c r="AD38" s="10"/>
    </row>
    <row r="39" spans="1:30" x14ac:dyDescent="0.25">
      <c r="A39" s="25"/>
      <c r="B39" s="84"/>
      <c r="C39" s="26"/>
      <c r="D39" s="27"/>
      <c r="F39" s="10"/>
      <c r="G39" s="10"/>
      <c r="H39" s="3"/>
      <c r="I39" s="3"/>
      <c r="AC39" s="10"/>
      <c r="AD39" s="10"/>
    </row>
    <row r="40" spans="1:30" x14ac:dyDescent="0.25">
      <c r="A40" s="25"/>
      <c r="B40" s="84"/>
      <c r="C40" s="26"/>
      <c r="D40" s="27"/>
      <c r="F40" s="10"/>
      <c r="G40" s="10"/>
      <c r="H40" s="3"/>
      <c r="I40" s="3"/>
    </row>
    <row r="41" spans="1:30" x14ac:dyDescent="0.25">
      <c r="A41" s="25"/>
      <c r="B41" s="84"/>
      <c r="C41" s="26"/>
      <c r="D41" s="27"/>
      <c r="F41" s="10"/>
      <c r="G41" s="10"/>
      <c r="H41" s="3"/>
      <c r="I41" s="3"/>
    </row>
    <row r="42" spans="1:30" x14ac:dyDescent="0.25">
      <c r="A42" s="25"/>
      <c r="B42" s="84"/>
      <c r="C42" s="26"/>
      <c r="D42" s="27"/>
      <c r="F42" s="10"/>
      <c r="G42" s="10"/>
      <c r="H42" s="3"/>
      <c r="I42" s="3"/>
    </row>
    <row r="43" spans="1:30" x14ac:dyDescent="0.25">
      <c r="A43" s="25"/>
      <c r="B43" s="84"/>
      <c r="C43" s="26"/>
      <c r="D43" s="27"/>
      <c r="F43" s="10"/>
      <c r="G43" s="10"/>
      <c r="H43" s="3"/>
      <c r="I43" s="3"/>
    </row>
    <row r="44" spans="1:30" x14ac:dyDescent="0.25">
      <c r="A44" s="25"/>
      <c r="B44" s="84"/>
      <c r="C44" s="26"/>
      <c r="D44" s="27"/>
      <c r="F44" s="10"/>
      <c r="G44" s="10"/>
      <c r="H44" s="3"/>
      <c r="I44" s="3"/>
    </row>
    <row r="45" spans="1:30" x14ac:dyDescent="0.25">
      <c r="A45" s="25"/>
      <c r="B45" s="84"/>
      <c r="C45" s="26"/>
      <c r="D45" s="27"/>
      <c r="F45" s="10"/>
      <c r="G45" s="10"/>
      <c r="H45" s="3"/>
      <c r="I45" s="3"/>
    </row>
    <row r="46" spans="1:30" x14ac:dyDescent="0.25">
      <c r="A46" s="25"/>
      <c r="B46" s="14"/>
      <c r="C46" s="26"/>
      <c r="D46" s="27"/>
      <c r="F46" s="10"/>
      <c r="G46" s="10"/>
      <c r="H46" s="3"/>
      <c r="I46" s="3"/>
    </row>
    <row r="47" spans="1:30" x14ac:dyDescent="0.25">
      <c r="A47" s="25"/>
      <c r="B47" s="14"/>
      <c r="C47" s="26"/>
      <c r="D47" s="27"/>
      <c r="F47" s="10"/>
      <c r="G47" s="10"/>
      <c r="H47" s="3"/>
      <c r="I47" s="3"/>
    </row>
    <row r="48" spans="1:30" x14ac:dyDescent="0.25">
      <c r="A48" s="25"/>
      <c r="B48" s="14"/>
      <c r="C48" s="26"/>
      <c r="D48" s="27"/>
      <c r="F48" s="10"/>
      <c r="G48" s="10"/>
      <c r="H48" s="3"/>
      <c r="I48" s="3"/>
    </row>
    <row r="49" spans="1:9" x14ac:dyDescent="0.25">
      <c r="A49" s="25"/>
      <c r="B49" s="14"/>
      <c r="C49" s="26"/>
      <c r="D49" s="27"/>
      <c r="F49" s="10"/>
      <c r="G49" s="10"/>
      <c r="H49" s="3"/>
      <c r="I49" s="3"/>
    </row>
    <row r="50" spans="1:9" x14ac:dyDescent="0.25">
      <c r="A50" s="25"/>
      <c r="B50" s="14"/>
      <c r="C50" s="26"/>
      <c r="D50" s="27"/>
      <c r="F50" s="10"/>
      <c r="G50" s="10"/>
      <c r="H50" s="3"/>
      <c r="I50" s="3"/>
    </row>
    <row r="51" spans="1:9" x14ac:dyDescent="0.25">
      <c r="A51" s="25"/>
      <c r="B51" s="14"/>
      <c r="C51" s="26"/>
      <c r="D51" s="27"/>
      <c r="F51" s="10"/>
      <c r="G51" s="10"/>
      <c r="H51" s="3"/>
      <c r="I51" s="3"/>
    </row>
    <row r="52" spans="1:9" x14ac:dyDescent="0.25">
      <c r="A52" s="25"/>
      <c r="B52" s="14"/>
      <c r="C52" s="26"/>
      <c r="D52" s="27"/>
      <c r="F52" s="10"/>
      <c r="G52" s="10"/>
      <c r="H52" s="3"/>
      <c r="I52" s="3"/>
    </row>
    <row r="53" spans="1:9" x14ac:dyDescent="0.25">
      <c r="A53" s="25"/>
      <c r="B53" s="14"/>
      <c r="C53" s="26"/>
      <c r="D53" s="27"/>
      <c r="F53" s="10"/>
      <c r="G53" s="10"/>
      <c r="H53" s="3"/>
      <c r="I53" s="3"/>
    </row>
    <row r="54" spans="1:9" x14ac:dyDescent="0.25">
      <c r="A54" s="25"/>
      <c r="B54" s="14"/>
      <c r="C54" s="26"/>
      <c r="D54" s="27"/>
      <c r="F54" s="10"/>
      <c r="G54" s="10"/>
      <c r="H54" s="3"/>
      <c r="I54" s="3"/>
    </row>
    <row r="55" spans="1:9" x14ac:dyDescent="0.25">
      <c r="A55" s="25"/>
      <c r="B55" s="14"/>
      <c r="C55" s="26"/>
      <c r="D55" s="27"/>
      <c r="F55" s="10"/>
      <c r="G55" s="10"/>
      <c r="H55" s="3"/>
      <c r="I55" s="3"/>
    </row>
    <row r="56" spans="1:9" x14ac:dyDescent="0.25">
      <c r="A56" s="25"/>
      <c r="B56" s="14"/>
      <c r="C56" s="26"/>
      <c r="D56" s="27"/>
      <c r="F56" s="10"/>
      <c r="G56" s="10"/>
      <c r="H56" s="3"/>
      <c r="I56" s="3"/>
    </row>
    <row r="57" spans="1:9" x14ac:dyDescent="0.25">
      <c r="A57" s="25"/>
      <c r="B57" s="14"/>
      <c r="C57" s="26"/>
      <c r="D57" s="27"/>
      <c r="F57" s="10"/>
      <c r="G57" s="10"/>
      <c r="H57" s="3"/>
      <c r="I57" s="3"/>
    </row>
    <row r="58" spans="1:9" x14ac:dyDescent="0.25">
      <c r="A58" s="25"/>
      <c r="B58" s="14"/>
      <c r="C58" s="26"/>
      <c r="D58" s="27"/>
      <c r="F58" s="10"/>
      <c r="G58" s="10"/>
      <c r="H58" s="3"/>
      <c r="I58" s="3"/>
    </row>
    <row r="59" spans="1:9" x14ac:dyDescent="0.25">
      <c r="A59" s="25"/>
      <c r="B59" s="14"/>
      <c r="C59" s="26"/>
      <c r="D59" s="27"/>
      <c r="F59" s="10"/>
      <c r="G59" s="10"/>
      <c r="H59" s="3"/>
      <c r="I59" s="3"/>
    </row>
    <row r="60" spans="1:9" x14ac:dyDescent="0.25">
      <c r="A60" s="25"/>
      <c r="B60" s="14"/>
      <c r="C60" s="26"/>
      <c r="D60" s="27"/>
      <c r="F60" s="10"/>
      <c r="G60" s="10"/>
      <c r="H60" s="3"/>
      <c r="I60" s="3"/>
    </row>
    <row r="61" spans="1:9" x14ac:dyDescent="0.25">
      <c r="A61" s="25"/>
      <c r="B61" s="14"/>
      <c r="C61" s="26"/>
      <c r="D61" s="27"/>
      <c r="F61" s="10"/>
      <c r="G61" s="10"/>
      <c r="H61" s="3"/>
      <c r="I61" s="3"/>
    </row>
    <row r="62" spans="1:9" x14ac:dyDescent="0.25">
      <c r="A62" s="25"/>
      <c r="B62" s="14"/>
      <c r="C62" s="26"/>
      <c r="D62" s="27"/>
      <c r="F62" s="10"/>
      <c r="G62" s="10"/>
      <c r="H62" s="3"/>
      <c r="I62" s="3"/>
    </row>
    <row r="63" spans="1:9" x14ac:dyDescent="0.25">
      <c r="A63" s="25"/>
      <c r="B63" s="14"/>
      <c r="C63" s="26"/>
      <c r="D63" s="27"/>
      <c r="F63" s="10"/>
      <c r="G63" s="10"/>
      <c r="H63" s="3"/>
      <c r="I63" s="3"/>
    </row>
    <row r="64" spans="1:9" x14ac:dyDescent="0.25">
      <c r="A64" s="25"/>
      <c r="B64" s="14"/>
      <c r="C64" s="26"/>
      <c r="D64" s="27"/>
      <c r="F64" s="10"/>
      <c r="G64" s="10"/>
      <c r="H64" s="3"/>
      <c r="I64" s="3"/>
    </row>
    <row r="65" spans="1:9" x14ac:dyDescent="0.25">
      <c r="A65" s="25"/>
      <c r="B65" s="14"/>
      <c r="C65" s="26"/>
      <c r="D65" s="27"/>
      <c r="F65" s="10"/>
      <c r="G65" s="10"/>
      <c r="H65" s="3"/>
      <c r="I65" s="3"/>
    </row>
    <row r="66" spans="1:9" x14ac:dyDescent="0.25">
      <c r="A66" s="25"/>
      <c r="B66" s="14"/>
      <c r="C66" s="26"/>
      <c r="D66" s="27"/>
      <c r="F66" s="10"/>
      <c r="G66" s="10"/>
      <c r="H66" s="3"/>
      <c r="I66" s="3"/>
    </row>
    <row r="67" spans="1:9" x14ac:dyDescent="0.25">
      <c r="A67" s="25"/>
      <c r="B67" s="14"/>
      <c r="C67" s="26"/>
      <c r="D67" s="27"/>
      <c r="F67" s="10"/>
      <c r="G67" s="10"/>
      <c r="H67" s="3"/>
      <c r="I67" s="3"/>
    </row>
    <row r="68" spans="1:9" x14ac:dyDescent="0.25">
      <c r="A68" s="25"/>
      <c r="B68" s="14"/>
      <c r="C68" s="26"/>
      <c r="D68" s="27"/>
      <c r="F68" s="10"/>
      <c r="G68" s="10"/>
      <c r="H68" s="3"/>
      <c r="I68" s="3"/>
    </row>
    <row r="69" spans="1:9" x14ac:dyDescent="0.25">
      <c r="A69" s="25"/>
      <c r="B69" s="14"/>
      <c r="C69" s="26"/>
      <c r="D69" s="27"/>
      <c r="F69" s="10"/>
      <c r="G69" s="10"/>
      <c r="H69" s="3"/>
      <c r="I69" s="3"/>
    </row>
    <row r="70" spans="1:9" x14ac:dyDescent="0.25">
      <c r="A70" s="25"/>
      <c r="B70" s="14"/>
      <c r="C70" s="26"/>
      <c r="D70" s="27"/>
      <c r="F70" s="10"/>
      <c r="G70" s="10"/>
      <c r="H70" s="3"/>
      <c r="I70" s="3"/>
    </row>
    <row r="71" spans="1:9" x14ac:dyDescent="0.25">
      <c r="A71" s="25"/>
      <c r="B71" s="14"/>
      <c r="C71" s="26"/>
      <c r="D71" s="27"/>
      <c r="F71" s="10"/>
      <c r="G71" s="10"/>
      <c r="H71" s="3"/>
      <c r="I71" s="3"/>
    </row>
    <row r="72" spans="1:9" x14ac:dyDescent="0.25">
      <c r="A72" s="25"/>
      <c r="B72" s="14"/>
      <c r="C72" s="26"/>
      <c r="D72" s="27"/>
      <c r="F72" s="10"/>
      <c r="G72" s="10"/>
      <c r="H72" s="3"/>
      <c r="I72" s="3"/>
    </row>
    <row r="73" spans="1:9" x14ac:dyDescent="0.25">
      <c r="A73" s="25"/>
      <c r="B73" s="14"/>
      <c r="C73" s="26"/>
      <c r="D73" s="27"/>
      <c r="F73" s="10"/>
      <c r="G73" s="10"/>
      <c r="H73" s="3"/>
      <c r="I73" s="3"/>
    </row>
    <row r="74" spans="1:9" x14ac:dyDescent="0.25">
      <c r="A74" s="25"/>
      <c r="B74" s="14"/>
      <c r="C74" s="26"/>
      <c r="D74" s="27"/>
      <c r="F74" s="10"/>
      <c r="G74" s="10"/>
      <c r="H74" s="3"/>
      <c r="I74" s="3"/>
    </row>
    <row r="75" spans="1:9" x14ac:dyDescent="0.25">
      <c r="A75" s="25"/>
      <c r="B75" s="14"/>
      <c r="C75" s="26"/>
      <c r="D75" s="27"/>
      <c r="F75" s="10"/>
      <c r="G75" s="10"/>
      <c r="H75" s="3"/>
      <c r="I75" s="3"/>
    </row>
    <row r="76" spans="1:9" x14ac:dyDescent="0.25">
      <c r="A76" s="25"/>
      <c r="B76" s="14"/>
      <c r="C76" s="26"/>
      <c r="D76" s="27"/>
      <c r="F76" s="10"/>
      <c r="G76" s="10"/>
      <c r="H76" s="3"/>
      <c r="I76" s="3"/>
    </row>
    <row r="77" spans="1:9" x14ac:dyDescent="0.25">
      <c r="A77" s="25"/>
      <c r="B77" s="14"/>
      <c r="C77" s="26"/>
      <c r="D77" s="27"/>
      <c r="F77" s="10"/>
      <c r="G77" s="10"/>
      <c r="H77" s="3"/>
      <c r="I77" s="3"/>
    </row>
    <row r="78" spans="1:9" x14ac:dyDescent="0.25">
      <c r="A78" s="25"/>
      <c r="B78" s="14"/>
      <c r="C78" s="26"/>
      <c r="D78" s="27"/>
      <c r="F78" s="10"/>
      <c r="G78" s="10"/>
      <c r="H78" s="3"/>
      <c r="I78" s="3"/>
    </row>
    <row r="79" spans="1:9" x14ac:dyDescent="0.25">
      <c r="A79" s="25"/>
      <c r="B79" s="14"/>
      <c r="C79" s="26"/>
      <c r="D79" s="27"/>
      <c r="F79" s="10"/>
      <c r="G79" s="10"/>
      <c r="H79" s="3"/>
      <c r="I79" s="3"/>
    </row>
    <row r="80" spans="1:9" x14ac:dyDescent="0.25">
      <c r="A80" s="25"/>
      <c r="B80" s="14"/>
      <c r="C80" s="26"/>
      <c r="D80" s="27"/>
      <c r="F80" s="10"/>
      <c r="G80" s="10"/>
      <c r="H80" s="3"/>
      <c r="I80" s="3"/>
    </row>
    <row r="81" spans="1:9" x14ac:dyDescent="0.25">
      <c r="A81" s="25"/>
      <c r="B81" s="14"/>
      <c r="C81" s="26"/>
      <c r="D81" s="27"/>
      <c r="F81" s="10"/>
      <c r="G81" s="10"/>
      <c r="H81" s="3"/>
      <c r="I81" s="3"/>
    </row>
    <row r="82" spans="1:9" x14ac:dyDescent="0.25">
      <c r="A82" s="25"/>
      <c r="B82" s="14"/>
      <c r="C82" s="26"/>
      <c r="D82" s="27"/>
      <c r="F82" s="10"/>
      <c r="G82" s="10"/>
      <c r="H82" s="3"/>
      <c r="I82" s="3"/>
    </row>
    <row r="83" spans="1:9" x14ac:dyDescent="0.25">
      <c r="A83" s="25"/>
      <c r="B83" s="14"/>
      <c r="C83" s="26"/>
      <c r="D83" s="27"/>
      <c r="F83" s="10"/>
      <c r="G83" s="10"/>
      <c r="H83" s="3"/>
      <c r="I83" s="3"/>
    </row>
    <row r="84" spans="1:9" x14ac:dyDescent="0.25">
      <c r="A84" s="25"/>
      <c r="B84" s="14"/>
      <c r="C84" s="26"/>
      <c r="D84" s="27"/>
      <c r="F84" s="10"/>
      <c r="G84" s="10"/>
      <c r="H84" s="3"/>
      <c r="I84" s="3"/>
    </row>
    <row r="85" spans="1:9" x14ac:dyDescent="0.25">
      <c r="A85" s="25"/>
      <c r="B85" s="14"/>
      <c r="C85" s="26"/>
      <c r="D85" s="27"/>
      <c r="F85" s="10"/>
      <c r="G85" s="10"/>
      <c r="H85" s="3"/>
      <c r="I85" s="3"/>
    </row>
    <row r="86" spans="1:9" x14ac:dyDescent="0.25">
      <c r="A86" s="25"/>
      <c r="B86" s="14"/>
      <c r="C86" s="26"/>
      <c r="D86" s="27"/>
      <c r="F86" s="10"/>
      <c r="G86" s="10"/>
      <c r="H86" s="3"/>
      <c r="I86" s="3"/>
    </row>
    <row r="87" spans="1:9" x14ac:dyDescent="0.25">
      <c r="A87" s="25"/>
      <c r="B87" s="14"/>
      <c r="C87" s="26"/>
      <c r="D87" s="27"/>
      <c r="F87" s="10"/>
      <c r="G87" s="10"/>
      <c r="H87" s="3"/>
      <c r="I87" s="3"/>
    </row>
    <row r="88" spans="1:9" x14ac:dyDescent="0.25">
      <c r="A88" s="25"/>
      <c r="B88" s="14"/>
      <c r="C88" s="26"/>
      <c r="D88" s="27"/>
      <c r="F88" s="10"/>
      <c r="G88" s="10"/>
      <c r="H88" s="3"/>
      <c r="I88" s="3"/>
    </row>
    <row r="89" spans="1:9" x14ac:dyDescent="0.25">
      <c r="A89" s="25"/>
      <c r="B89" s="14"/>
      <c r="C89" s="26"/>
      <c r="D89" s="27"/>
      <c r="F89" s="10"/>
      <c r="G89" s="10"/>
      <c r="H89" s="3"/>
      <c r="I89" s="3"/>
    </row>
    <row r="90" spans="1:9" x14ac:dyDescent="0.25">
      <c r="A90" s="25"/>
      <c r="B90" s="14"/>
      <c r="C90" s="26"/>
      <c r="D90" s="27"/>
      <c r="F90" s="10"/>
      <c r="G90" s="10"/>
      <c r="H90" s="3"/>
      <c r="I90" s="3"/>
    </row>
    <row r="91" spans="1:9" x14ac:dyDescent="0.25">
      <c r="A91" s="25"/>
      <c r="B91" s="14"/>
      <c r="C91" s="26"/>
      <c r="D91" s="27"/>
      <c r="F91" s="10"/>
      <c r="G91" s="10"/>
      <c r="H91" s="3"/>
      <c r="I91" s="3"/>
    </row>
    <row r="92" spans="1:9" x14ac:dyDescent="0.25">
      <c r="A92" s="25"/>
      <c r="B92" s="14"/>
      <c r="C92" s="26"/>
      <c r="D92" s="27"/>
      <c r="F92" s="10"/>
      <c r="G92" s="10"/>
      <c r="H92" s="3"/>
      <c r="I92" s="3"/>
    </row>
    <row r="93" spans="1:9" x14ac:dyDescent="0.25">
      <c r="A93" s="25"/>
      <c r="B93" s="14"/>
      <c r="C93" s="26"/>
      <c r="D93" s="27"/>
      <c r="F93" s="10"/>
      <c r="G93" s="10"/>
      <c r="H93" s="3"/>
      <c r="I93" s="3"/>
    </row>
    <row r="94" spans="1:9" x14ac:dyDescent="0.25">
      <c r="A94" s="25"/>
      <c r="B94" s="14"/>
      <c r="C94" s="26"/>
      <c r="D94" s="27"/>
      <c r="F94" s="10"/>
      <c r="G94" s="10"/>
      <c r="H94" s="3"/>
      <c r="I94" s="3"/>
    </row>
    <row r="95" spans="1:9" x14ac:dyDescent="0.25">
      <c r="A95" s="25"/>
      <c r="B95" s="14"/>
      <c r="C95" s="26"/>
      <c r="D95" s="27"/>
      <c r="F95" s="10"/>
      <c r="G95" s="10"/>
      <c r="H95" s="3"/>
      <c r="I95" s="3"/>
    </row>
    <row r="96" spans="1:9" x14ac:dyDescent="0.25">
      <c r="A96" s="25"/>
      <c r="B96" s="14"/>
      <c r="C96" s="26"/>
      <c r="D96" s="27"/>
      <c r="F96" s="10"/>
      <c r="G96" s="10"/>
      <c r="H96" s="3"/>
      <c r="I96" s="3"/>
    </row>
    <row r="97" spans="1:9" x14ac:dyDescent="0.25">
      <c r="A97" s="25"/>
      <c r="B97" s="14"/>
      <c r="C97" s="26"/>
      <c r="D97" s="27"/>
      <c r="F97" s="10"/>
      <c r="G97" s="10"/>
      <c r="H97" s="3"/>
      <c r="I97" s="3"/>
    </row>
    <row r="98" spans="1:9" x14ac:dyDescent="0.25">
      <c r="A98" s="25"/>
      <c r="B98" s="14"/>
      <c r="C98" s="26"/>
      <c r="D98" s="27"/>
      <c r="F98" s="10"/>
      <c r="G98" s="10"/>
      <c r="H98" s="3"/>
      <c r="I98" s="3"/>
    </row>
    <row r="99" spans="1:9" x14ac:dyDescent="0.25">
      <c r="A99" s="25"/>
      <c r="B99" s="14"/>
      <c r="C99" s="26"/>
      <c r="D99" s="27"/>
      <c r="F99" s="10"/>
      <c r="G99" s="10"/>
      <c r="H99" s="3"/>
      <c r="I99" s="3"/>
    </row>
    <row r="100" spans="1:9" x14ac:dyDescent="0.25">
      <c r="A100" s="25"/>
      <c r="B100" s="14"/>
      <c r="C100" s="26"/>
      <c r="D100" s="27"/>
      <c r="F100" s="10"/>
      <c r="G100" s="10"/>
      <c r="H100" s="3"/>
      <c r="I100" s="3"/>
    </row>
    <row r="101" spans="1:9" x14ac:dyDescent="0.25">
      <c r="A101" s="25"/>
      <c r="B101" s="14"/>
      <c r="C101" s="26"/>
      <c r="D101" s="27"/>
      <c r="F101" s="10"/>
      <c r="G101" s="10"/>
      <c r="H101" s="3"/>
      <c r="I101" s="3"/>
    </row>
    <row r="102" spans="1:9" x14ac:dyDescent="0.25">
      <c r="A102" s="25"/>
      <c r="B102" s="14"/>
      <c r="C102" s="26"/>
      <c r="D102" s="27"/>
      <c r="F102" s="10"/>
      <c r="G102" s="10"/>
      <c r="H102" s="3"/>
      <c r="I102" s="3"/>
    </row>
    <row r="103" spans="1:9" x14ac:dyDescent="0.25">
      <c r="A103" s="25"/>
      <c r="B103" s="14"/>
      <c r="C103" s="26"/>
      <c r="D103" s="27"/>
      <c r="F103" s="10"/>
      <c r="G103" s="10"/>
      <c r="H103" s="3"/>
      <c r="I103" s="3"/>
    </row>
    <row r="104" spans="1:9" x14ac:dyDescent="0.25">
      <c r="A104" s="25"/>
      <c r="B104" s="14"/>
      <c r="C104" s="26"/>
      <c r="D104" s="27"/>
      <c r="F104" s="10"/>
      <c r="G104" s="10"/>
      <c r="H104" s="3"/>
      <c r="I104" s="3"/>
    </row>
    <row r="105" spans="1:9" x14ac:dyDescent="0.25">
      <c r="A105" s="25"/>
      <c r="B105" s="14"/>
      <c r="C105" s="26"/>
      <c r="D105" s="27"/>
      <c r="F105" s="10"/>
      <c r="G105" s="10"/>
      <c r="H105" s="3"/>
      <c r="I105" s="3"/>
    </row>
    <row r="106" spans="1:9" x14ac:dyDescent="0.25">
      <c r="A106" s="25"/>
      <c r="B106" s="14"/>
      <c r="C106" s="26"/>
      <c r="D106" s="27"/>
      <c r="F106" s="10"/>
      <c r="G106" s="10"/>
      <c r="H106" s="3"/>
      <c r="I106" s="3"/>
    </row>
    <row r="107" spans="1:9" x14ac:dyDescent="0.25">
      <c r="A107" s="25"/>
      <c r="B107" s="14"/>
      <c r="C107" s="26"/>
      <c r="D107" s="27"/>
      <c r="F107" s="10"/>
      <c r="G107" s="10"/>
      <c r="H107" s="3"/>
      <c r="I107" s="3"/>
    </row>
    <row r="108" spans="1:9" x14ac:dyDescent="0.25">
      <c r="A108" s="25"/>
      <c r="B108" s="14"/>
      <c r="C108" s="26"/>
      <c r="D108" s="27"/>
      <c r="F108" s="10"/>
      <c r="G108" s="10"/>
      <c r="H108" s="3"/>
      <c r="I108" s="3"/>
    </row>
    <row r="109" spans="1:9" x14ac:dyDescent="0.25">
      <c r="A109" s="25"/>
      <c r="B109" s="14"/>
      <c r="C109" s="26"/>
      <c r="D109" s="27"/>
      <c r="F109" s="10"/>
      <c r="G109" s="10"/>
      <c r="H109" s="3"/>
      <c r="I109" s="3"/>
    </row>
    <row r="110" spans="1:9" x14ac:dyDescent="0.25">
      <c r="A110" s="29"/>
      <c r="B110" s="30"/>
      <c r="C110" s="31"/>
      <c r="D110" s="32"/>
      <c r="F110" s="10"/>
      <c r="G110" s="10"/>
      <c r="H110" s="3"/>
      <c r="I110" s="3"/>
    </row>
  </sheetData>
  <dataConsolidate/>
  <mergeCells count="13">
    <mergeCell ref="J1:K2"/>
    <mergeCell ref="H4:I4"/>
    <mergeCell ref="F4:G4"/>
    <mergeCell ref="J4:K4"/>
    <mergeCell ref="A1:E4"/>
    <mergeCell ref="V4:W4"/>
    <mergeCell ref="X4:Y4"/>
    <mergeCell ref="Z4:AA4"/>
    <mergeCell ref="L4:M4"/>
    <mergeCell ref="N4:O4"/>
    <mergeCell ref="P4:Q4"/>
    <mergeCell ref="R4:S4"/>
    <mergeCell ref="T4:U4"/>
  </mergeCells>
  <conditionalFormatting sqref="B37:D110 B7:D35">
    <cfRule type="expression" dxfId="12" priority="12">
      <formula>$A7&gt;0</formula>
    </cfRule>
  </conditionalFormatting>
  <conditionalFormatting sqref="F7:F35">
    <cfRule type="cellIs" dxfId="11" priority="11" operator="lessThan">
      <formula>1</formula>
    </cfRule>
  </conditionalFormatting>
  <conditionalFormatting sqref="G7:G35">
    <cfRule type="cellIs" dxfId="10" priority="9" operator="lessThan">
      <formula>1</formula>
    </cfRule>
  </conditionalFormatting>
  <conditionalFormatting sqref="H7:I35">
    <cfRule type="cellIs" dxfId="9" priority="7" operator="lessThan">
      <formula>1</formula>
    </cfRule>
  </conditionalFormatting>
  <conditionalFormatting sqref="P8:AA12 O8:O35 K7:M35 O7:AA7">
    <cfRule type="cellIs" dxfId="8" priority="5" operator="lessThan">
      <formula>1</formula>
    </cfRule>
  </conditionalFormatting>
  <conditionalFormatting sqref="P13:AA35 N7:N35">
    <cfRule type="cellIs" dxfId="7" priority="4" operator="lessThan">
      <formula>1</formula>
    </cfRule>
  </conditionalFormatting>
  <conditionalFormatting sqref="AC13:AD16">
    <cfRule type="cellIs" dxfId="6" priority="3" operator="lessThan">
      <formula>1</formula>
    </cfRule>
  </conditionalFormatting>
  <conditionalFormatting sqref="AC17:AD39">
    <cfRule type="cellIs" dxfId="5" priority="2" operator="lessThan">
      <formula>1</formula>
    </cfRule>
  </conditionalFormatting>
  <conditionalFormatting sqref="J7:J35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A27" 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56FD2C5-F68C-4532-B7DC-33E4C869D781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A37:A110 A7:A35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3:I39"/>
  <sheetViews>
    <sheetView tabSelected="1" workbookViewId="0">
      <selection activeCell="H8" sqref="H8"/>
    </sheetView>
  </sheetViews>
  <sheetFormatPr baseColWidth="10" defaultRowHeight="15" x14ac:dyDescent="0.25"/>
  <sheetData>
    <row r="3" spans="1:9" ht="30" x14ac:dyDescent="0.25">
      <c r="A3" s="89" t="s">
        <v>11</v>
      </c>
      <c r="B3" s="89"/>
      <c r="C3" s="6" t="s">
        <v>12</v>
      </c>
      <c r="D3" s="7"/>
      <c r="E3" s="90" t="s">
        <v>11</v>
      </c>
      <c r="F3" s="91"/>
      <c r="G3" s="8" t="s">
        <v>12</v>
      </c>
    </row>
    <row r="4" spans="1:9" x14ac:dyDescent="0.25">
      <c r="A4" s="92" t="str">
        <f>VLOOKUP(1,'Suivi de stock'!A7:B19,2,FALSE)</f>
        <v>Boulon Poêlier 6*100</v>
      </c>
      <c r="B4" s="92"/>
      <c r="C4" s="9"/>
      <c r="D4" s="7"/>
      <c r="E4" s="93"/>
      <c r="F4" s="93"/>
      <c r="G4" s="9"/>
    </row>
    <row r="5" spans="1:9" x14ac:dyDescent="0.25">
      <c r="A5" s="92" t="str">
        <f>VLOOKUP(2,'Suivi de stock'!A8:B20,2,FALSE)</f>
        <v>Boulon Poêlier 6*60</v>
      </c>
      <c r="B5" s="92"/>
      <c r="C5" s="9"/>
      <c r="D5" s="7"/>
      <c r="E5" s="93"/>
      <c r="F5" s="93"/>
      <c r="G5" s="9"/>
    </row>
    <row r="6" spans="1:9" x14ac:dyDescent="0.25">
      <c r="A6" s="92" t="str">
        <f>VLOOKUP(3,'Suivi de stock'!A9:B21,2,FALSE)</f>
        <v>Boulon Poêlier 6*80</v>
      </c>
      <c r="B6" s="92"/>
      <c r="C6" s="9"/>
      <c r="D6" s="7"/>
      <c r="E6" s="93"/>
      <c r="F6" s="93"/>
      <c r="G6" s="9"/>
    </row>
    <row r="7" spans="1:9" x14ac:dyDescent="0.25">
      <c r="A7" s="92" t="str">
        <f>VLOOKUP(4,'Suivi de stock'!A10:B22,2,FALSE)</f>
        <v>Cheville D10</v>
      </c>
      <c r="B7" s="92"/>
      <c r="C7" s="9"/>
      <c r="D7" s="7"/>
      <c r="E7" s="93"/>
      <c r="F7" s="93"/>
      <c r="G7" s="9"/>
    </row>
    <row r="8" spans="1:9" x14ac:dyDescent="0.25">
      <c r="A8" s="92" t="str">
        <f>VLOOKUP(5,'Suivi de stock'!A11:B23,2,FALSE)</f>
        <v>Cheville D6</v>
      </c>
      <c r="B8" s="92"/>
      <c r="C8" s="9"/>
      <c r="D8" s="7"/>
      <c r="E8" s="93"/>
      <c r="F8" s="93"/>
      <c r="G8" s="9"/>
    </row>
    <row r="9" spans="1:9" x14ac:dyDescent="0.25">
      <c r="A9" s="92" t="str">
        <f>VLOOKUP(6,'Suivi de stock'!A12:B24,2,FALSE)</f>
        <v>Molly D6</v>
      </c>
      <c r="B9" s="92"/>
      <c r="C9" s="9"/>
      <c r="D9" s="7"/>
      <c r="E9" s="93"/>
      <c r="F9" s="93"/>
      <c r="G9" s="9"/>
      <c r="I9" s="75"/>
    </row>
    <row r="10" spans="1:9" x14ac:dyDescent="0.25">
      <c r="A10" s="92" t="str">
        <f>VLOOKUP(7,'Suivi de stock'!A13:B25,2,FALSE)</f>
        <v>Molly D8</v>
      </c>
      <c r="B10" s="92"/>
      <c r="C10" s="9"/>
      <c r="D10" s="7"/>
      <c r="E10" s="93"/>
      <c r="F10" s="93"/>
      <c r="G10" s="9"/>
    </row>
    <row r="11" spans="1:9" x14ac:dyDescent="0.25">
      <c r="A11" s="92" t="str">
        <f>VLOOKUP(8,'Suivi de stock'!A14:B26,2,FALSE)</f>
        <v>Tirefonds 6*50</v>
      </c>
      <c r="B11" s="92"/>
      <c r="C11" s="9"/>
      <c r="D11" s="7"/>
      <c r="E11" s="93"/>
      <c r="F11" s="93"/>
      <c r="G11" s="9"/>
    </row>
    <row r="12" spans="1:9" x14ac:dyDescent="0.25">
      <c r="A12" s="92" t="str">
        <f>VLOOKUP(9,'Suivi de stock'!A15:B27,2,FALSE)</f>
        <v>Tirefonds 8*100</v>
      </c>
      <c r="B12" s="92"/>
      <c r="C12" s="9"/>
      <c r="D12" s="7"/>
      <c r="E12" s="93"/>
      <c r="F12" s="93"/>
      <c r="G12" s="9"/>
    </row>
    <row r="13" spans="1:9" x14ac:dyDescent="0.25">
      <c r="A13" s="92" t="str">
        <f>VLOOKUP(10,'Suivi de stock'!A16:B28,2,FALSE)</f>
        <v>Tirefonds 8*50</v>
      </c>
      <c r="B13" s="92"/>
      <c r="C13" s="9"/>
      <c r="D13" s="7"/>
      <c r="E13" s="93"/>
      <c r="F13" s="93"/>
      <c r="G13" s="9"/>
    </row>
    <row r="14" spans="1:9" x14ac:dyDescent="0.25">
      <c r="A14" s="92" t="str">
        <f>VLOOKUP(11,'Suivi de stock'!A17:B29,2,FALSE)</f>
        <v>vis aglomère 3,5*35</v>
      </c>
      <c r="B14" s="92"/>
      <c r="C14" s="9"/>
      <c r="D14" s="7"/>
      <c r="E14" s="93"/>
      <c r="F14" s="93"/>
      <c r="G14" s="9"/>
    </row>
    <row r="15" spans="1:9" x14ac:dyDescent="0.25">
      <c r="A15" s="92" t="str">
        <f>VLOOKUP(12,'Suivi de stock'!A18:B30,2,FALSE)</f>
        <v>vis aglomère 4*30</v>
      </c>
      <c r="B15" s="92"/>
      <c r="C15" s="9"/>
      <c r="D15" s="7"/>
      <c r="E15" s="93"/>
      <c r="F15" s="93"/>
      <c r="G15" s="9"/>
    </row>
    <row r="16" spans="1:9" x14ac:dyDescent="0.25">
      <c r="A16" s="92" t="str">
        <f>IF(VLOOKUP(13,'Suivi de stock'!A19:B31,2,FALSE)=FALSE,"",VLOOKUP(13,'Suivi de stock'!A19:B31,2,FALSE))</f>
        <v>vis aglomère 4*35</v>
      </c>
      <c r="B16" s="92"/>
      <c r="C16" s="9"/>
      <c r="D16" s="7"/>
      <c r="E16" s="93"/>
      <c r="F16" s="93"/>
      <c r="G16" s="9"/>
    </row>
    <row r="17" spans="1:7" x14ac:dyDescent="0.25">
      <c r="A17" s="92" t="e">
        <f>IF(VLOOKUP(14,'Suivi de stock'!A20:B32,2,FALSE)=FALSE,"",VLOOKUP(13,'Suivi de stock'!A20:B32,2,FALSE))</f>
        <v>#N/A</v>
      </c>
      <c r="B17" s="92"/>
      <c r="C17" s="9"/>
      <c r="D17" s="7"/>
      <c r="E17" s="93"/>
      <c r="F17" s="93"/>
      <c r="G17" s="9"/>
    </row>
    <row r="18" spans="1:7" x14ac:dyDescent="0.25">
      <c r="A18" s="92" t="e">
        <f>IF(VLOOKUP(15,'Suivi de stock'!A21:B33,2,FALSE)=FALSE,"",VLOOKUP(13,'Suivi de stock'!A21:B33,2,FALSE))</f>
        <v>#N/A</v>
      </c>
      <c r="B18" s="92"/>
      <c r="C18" s="9"/>
      <c r="D18" s="7"/>
      <c r="E18" s="93"/>
      <c r="F18" s="93"/>
      <c r="G18" s="9"/>
    </row>
    <row r="19" spans="1:7" x14ac:dyDescent="0.25">
      <c r="A19" s="92" t="e">
        <f>IF(VLOOKUP(16,'Suivi de stock'!A22:B34,2,FALSE)=FALSE,"",VLOOKUP(13,'Suivi de stock'!A22:B34,2,FALSE))</f>
        <v>#N/A</v>
      </c>
      <c r="B19" s="92"/>
      <c r="C19" s="9"/>
      <c r="D19" s="7"/>
      <c r="E19" s="93"/>
      <c r="F19" s="93"/>
      <c r="G19" s="9"/>
    </row>
    <row r="20" spans="1:7" x14ac:dyDescent="0.25">
      <c r="A20" s="92" t="e">
        <f>IF(VLOOKUP(17,'Suivi de stock'!A23:B35,2,FALSE)=FALSE,"",VLOOKUP(13,'Suivi de stock'!A23:B35,2,FALSE))</f>
        <v>#N/A</v>
      </c>
      <c r="B20" s="92"/>
      <c r="C20" s="9"/>
      <c r="D20" s="7"/>
      <c r="E20" s="93"/>
      <c r="F20" s="93"/>
      <c r="G20" s="9"/>
    </row>
    <row r="21" spans="1:7" x14ac:dyDescent="0.25">
      <c r="A21" s="92" t="e">
        <f>IF(VLOOKUP(18,'Suivi de stock'!A24:B36,2,FALSE)=FALSE,"",VLOOKUP(13,'Suivi de stock'!A24:B36,2,FALSE))</f>
        <v>#N/A</v>
      </c>
      <c r="B21" s="92"/>
      <c r="C21" s="9"/>
      <c r="D21" s="7"/>
      <c r="E21" s="93"/>
      <c r="F21" s="93"/>
      <c r="G21" s="9"/>
    </row>
    <row r="22" spans="1:7" x14ac:dyDescent="0.25">
      <c r="A22" s="94"/>
      <c r="B22" s="95"/>
      <c r="C22" s="9"/>
      <c r="D22" s="7"/>
      <c r="E22" s="93"/>
      <c r="F22" s="93"/>
      <c r="G22" s="9"/>
    </row>
    <row r="23" spans="1:7" x14ac:dyDescent="0.25">
      <c r="A23" s="94"/>
      <c r="B23" s="95"/>
      <c r="C23" s="9"/>
      <c r="D23" s="7"/>
      <c r="E23" s="93"/>
      <c r="F23" s="93"/>
      <c r="G23" s="9"/>
    </row>
    <row r="24" spans="1:7" x14ac:dyDescent="0.25">
      <c r="A24" s="96"/>
      <c r="B24" s="97"/>
      <c r="C24" s="73"/>
      <c r="D24" s="7"/>
      <c r="E24" s="98"/>
      <c r="F24" s="98"/>
      <c r="G24" s="73"/>
    </row>
    <row r="25" spans="1:7" x14ac:dyDescent="0.25">
      <c r="A25" s="99"/>
      <c r="B25" s="99"/>
      <c r="C25" s="74"/>
      <c r="D25" s="45"/>
      <c r="E25" s="99"/>
      <c r="F25" s="99"/>
      <c r="G25" s="74"/>
    </row>
    <row r="26" spans="1:7" x14ac:dyDescent="0.25">
      <c r="A26" s="100"/>
      <c r="B26" s="100"/>
      <c r="C26" s="45"/>
      <c r="D26" s="45"/>
      <c r="E26" s="100"/>
      <c r="F26" s="100"/>
      <c r="G26" s="45"/>
    </row>
    <row r="27" spans="1:7" x14ac:dyDescent="0.25">
      <c r="A27" s="100"/>
      <c r="B27" s="100"/>
      <c r="C27" s="45"/>
      <c r="D27" s="45"/>
      <c r="E27" s="100"/>
      <c r="F27" s="100"/>
      <c r="G27" s="45"/>
    </row>
    <row r="28" spans="1:7" x14ac:dyDescent="0.25">
      <c r="A28" s="100"/>
      <c r="B28" s="100"/>
      <c r="C28" s="45"/>
      <c r="D28" s="45"/>
      <c r="E28" s="100"/>
      <c r="F28" s="100"/>
      <c r="G28" s="45"/>
    </row>
    <row r="29" spans="1:7" x14ac:dyDescent="0.25">
      <c r="A29" s="100"/>
      <c r="B29" s="100"/>
      <c r="C29" s="45"/>
      <c r="D29" s="45"/>
      <c r="E29" s="100"/>
      <c r="F29" s="100"/>
      <c r="G29" s="45"/>
    </row>
    <row r="30" spans="1:7" x14ac:dyDescent="0.25">
      <c r="A30" s="100"/>
      <c r="B30" s="100"/>
      <c r="C30" s="45"/>
      <c r="D30" s="45"/>
      <c r="E30" s="100"/>
      <c r="F30" s="100"/>
      <c r="G30" s="45"/>
    </row>
    <row r="31" spans="1:7" x14ac:dyDescent="0.25">
      <c r="A31" s="100"/>
      <c r="B31" s="100"/>
      <c r="C31" s="45"/>
      <c r="D31" s="45"/>
      <c r="E31" s="100"/>
      <c r="F31" s="100"/>
      <c r="G31" s="45"/>
    </row>
    <row r="32" spans="1:7" x14ac:dyDescent="0.25">
      <c r="A32" s="100"/>
      <c r="B32" s="100"/>
      <c r="C32" s="45"/>
      <c r="D32" s="45"/>
      <c r="E32" s="100"/>
      <c r="F32" s="100"/>
      <c r="G32" s="45"/>
    </row>
    <row r="33" spans="1:7" x14ac:dyDescent="0.25">
      <c r="A33" s="100"/>
      <c r="B33" s="100"/>
      <c r="C33" s="45"/>
      <c r="D33" s="45"/>
      <c r="E33" s="100"/>
      <c r="F33" s="100"/>
      <c r="G33" s="45"/>
    </row>
    <row r="34" spans="1:7" x14ac:dyDescent="0.25">
      <c r="A34" s="100"/>
      <c r="B34" s="100"/>
      <c r="C34" s="45"/>
      <c r="D34" s="45"/>
      <c r="E34" s="100"/>
      <c r="F34" s="100"/>
      <c r="G34" s="45"/>
    </row>
    <row r="35" spans="1:7" x14ac:dyDescent="0.25">
      <c r="A35" s="100"/>
      <c r="B35" s="100"/>
      <c r="C35" s="45"/>
      <c r="D35" s="45"/>
      <c r="E35" s="100"/>
      <c r="F35" s="100"/>
      <c r="G35" s="45"/>
    </row>
    <row r="36" spans="1:7" x14ac:dyDescent="0.25">
      <c r="A36" s="100"/>
      <c r="B36" s="100"/>
      <c r="C36" s="45"/>
      <c r="D36" s="45"/>
      <c r="E36" s="100"/>
      <c r="F36" s="100"/>
      <c r="G36" s="45"/>
    </row>
    <row r="37" spans="1:7" x14ac:dyDescent="0.25">
      <c r="A37" s="100"/>
      <c r="B37" s="100"/>
      <c r="C37" s="45"/>
      <c r="D37" s="45"/>
      <c r="E37" s="100"/>
      <c r="F37" s="100"/>
      <c r="G37" s="45"/>
    </row>
    <row r="38" spans="1:7" x14ac:dyDescent="0.25">
      <c r="A38" s="100"/>
      <c r="B38" s="100"/>
      <c r="C38" s="45"/>
      <c r="D38" s="45"/>
      <c r="E38" s="100"/>
      <c r="F38" s="100"/>
      <c r="G38" s="45"/>
    </row>
    <row r="39" spans="1:7" x14ac:dyDescent="0.25">
      <c r="A39" s="100"/>
      <c r="B39" s="100"/>
      <c r="C39" s="45"/>
      <c r="D39" s="45"/>
      <c r="E39" s="100"/>
      <c r="F39" s="100"/>
      <c r="G39" s="45"/>
    </row>
  </sheetData>
  <mergeCells count="74">
    <mergeCell ref="A39:B39"/>
    <mergeCell ref="E39:F39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2:B12"/>
    <mergeCell ref="E12:F12"/>
    <mergeCell ref="A13:B13"/>
    <mergeCell ref="E13:F13"/>
    <mergeCell ref="A14:B14"/>
    <mergeCell ref="E14:F14"/>
    <mergeCell ref="A9:B9"/>
    <mergeCell ref="E9:F9"/>
    <mergeCell ref="A10:B10"/>
    <mergeCell ref="E10:F10"/>
    <mergeCell ref="A11:B11"/>
    <mergeCell ref="E11:F11"/>
    <mergeCell ref="A6:B6"/>
    <mergeCell ref="E6:F6"/>
    <mergeCell ref="A7:B7"/>
    <mergeCell ref="E7:F7"/>
    <mergeCell ref="A8:B8"/>
    <mergeCell ref="E8:F8"/>
    <mergeCell ref="A3:B3"/>
    <mergeCell ref="E3:F3"/>
    <mergeCell ref="A4:B4"/>
    <mergeCell ref="E4:F4"/>
    <mergeCell ref="A5:B5"/>
    <mergeCell ref="E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H103"/>
  <sheetViews>
    <sheetView topLeftCell="A28" workbookViewId="0">
      <selection activeCell="J44" sqref="J44"/>
    </sheetView>
  </sheetViews>
  <sheetFormatPr baseColWidth="10" defaultRowHeight="15" x14ac:dyDescent="0.25"/>
  <cols>
    <col min="4" max="4" width="11.42578125" customWidth="1"/>
    <col min="5" max="5" width="13.7109375" customWidth="1"/>
    <col min="6" max="6" width="13.140625" customWidth="1"/>
    <col min="7" max="8" width="7.7109375" customWidth="1"/>
  </cols>
  <sheetData>
    <row r="1" spans="1:8" x14ac:dyDescent="0.25">
      <c r="A1" s="120" t="s">
        <v>25</v>
      </c>
      <c r="B1" s="121"/>
      <c r="C1" s="121"/>
      <c r="D1" s="121"/>
      <c r="E1" s="121"/>
      <c r="F1" s="121"/>
      <c r="G1" s="121"/>
      <c r="H1" s="122"/>
    </row>
    <row r="2" spans="1:8" x14ac:dyDescent="0.25">
      <c r="A2" s="123"/>
      <c r="B2" s="124"/>
      <c r="C2" s="124"/>
      <c r="D2" s="124"/>
      <c r="E2" s="124"/>
      <c r="F2" s="124"/>
      <c r="G2" s="124"/>
      <c r="H2" s="125"/>
    </row>
    <row r="3" spans="1:8" x14ac:dyDescent="0.25">
      <c r="A3" s="46"/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ht="15.75" thickBot="1" x14ac:dyDescent="0.3">
      <c r="A8" s="46"/>
      <c r="B8" s="46"/>
      <c r="C8" s="46"/>
      <c r="D8" s="46"/>
      <c r="E8" s="46"/>
      <c r="F8" s="46"/>
      <c r="G8" s="46"/>
      <c r="H8" s="46"/>
    </row>
    <row r="9" spans="1:8" ht="15.75" thickTop="1" x14ac:dyDescent="0.25">
      <c r="A9" s="47" t="s">
        <v>26</v>
      </c>
      <c r="B9" s="48"/>
      <c r="C9" s="48"/>
      <c r="D9" s="48"/>
      <c r="E9" s="49"/>
      <c r="F9" s="47" t="s">
        <v>28</v>
      </c>
      <c r="G9" s="48"/>
      <c r="H9" s="49"/>
    </row>
    <row r="10" spans="1:8" ht="24.75" customHeight="1" thickBot="1" x14ac:dyDescent="0.3">
      <c r="A10" s="50"/>
      <c r="B10" s="40"/>
      <c r="C10" s="40"/>
      <c r="D10" s="40"/>
      <c r="E10" s="51"/>
      <c r="F10" s="52"/>
      <c r="G10" s="54"/>
      <c r="H10" s="53"/>
    </row>
    <row r="11" spans="1:8" ht="15.75" thickTop="1" x14ac:dyDescent="0.25">
      <c r="A11" s="50" t="s">
        <v>27</v>
      </c>
      <c r="B11" s="40"/>
      <c r="C11" s="40"/>
      <c r="D11" s="40"/>
      <c r="E11" s="51"/>
      <c r="F11" s="50" t="s">
        <v>29</v>
      </c>
      <c r="G11" s="40"/>
      <c r="H11" s="51"/>
    </row>
    <row r="12" spans="1:8" ht="10.5" customHeight="1" x14ac:dyDescent="0.25">
      <c r="A12" s="50"/>
      <c r="B12" s="40"/>
      <c r="C12" s="40"/>
      <c r="D12" s="40"/>
      <c r="E12" s="51"/>
      <c r="F12" s="50"/>
      <c r="G12" s="40"/>
      <c r="H12" s="51"/>
    </row>
    <row r="13" spans="1:8" ht="15.75" thickBot="1" x14ac:dyDescent="0.3">
      <c r="A13" s="52"/>
      <c r="B13" s="54"/>
      <c r="C13" s="54"/>
      <c r="D13" s="54"/>
      <c r="E13" s="53"/>
      <c r="F13" s="52"/>
      <c r="G13" s="54"/>
      <c r="H13" s="53"/>
    </row>
    <row r="14" spans="1:8" ht="15.75" thickTop="1" x14ac:dyDescent="0.25">
      <c r="A14" s="47" t="s">
        <v>30</v>
      </c>
      <c r="B14" s="48"/>
      <c r="C14" s="48"/>
      <c r="D14" s="48"/>
      <c r="E14" s="48"/>
      <c r="F14" s="48"/>
      <c r="G14" s="48"/>
      <c r="H14" s="49"/>
    </row>
    <row r="15" spans="1:8" ht="15.75" thickBot="1" x14ac:dyDescent="0.3">
      <c r="A15" s="52"/>
      <c r="B15" s="54"/>
      <c r="C15" s="54"/>
      <c r="D15" s="54"/>
      <c r="E15" s="54"/>
      <c r="F15" s="54"/>
      <c r="G15" s="54"/>
      <c r="H15" s="53"/>
    </row>
    <row r="16" spans="1:8" ht="15.75" thickTop="1" x14ac:dyDescent="0.25">
      <c r="A16" s="47" t="s">
        <v>31</v>
      </c>
      <c r="B16" s="48"/>
      <c r="C16" s="48"/>
      <c r="D16" s="48"/>
      <c r="E16" s="48"/>
      <c r="F16" s="47" t="s">
        <v>33</v>
      </c>
      <c r="G16" s="48"/>
      <c r="H16" s="49"/>
    </row>
    <row r="17" spans="1:8" x14ac:dyDescent="0.25">
      <c r="A17" s="50"/>
      <c r="B17" s="40"/>
      <c r="C17" s="40"/>
      <c r="D17" s="40"/>
      <c r="E17" s="40"/>
      <c r="F17" s="50"/>
      <c r="G17" s="40"/>
      <c r="H17" s="51"/>
    </row>
    <row r="18" spans="1:8" x14ac:dyDescent="0.25">
      <c r="A18" s="50"/>
      <c r="B18" s="40"/>
      <c r="C18" s="40"/>
      <c r="D18" s="40"/>
      <c r="E18" s="40"/>
      <c r="F18" s="50" t="s">
        <v>32</v>
      </c>
      <c r="G18" s="40"/>
      <c r="H18" s="51"/>
    </row>
    <row r="19" spans="1:8" ht="15.75" thickBot="1" x14ac:dyDescent="0.3">
      <c r="A19" s="52"/>
      <c r="B19" s="54"/>
      <c r="C19" s="54"/>
      <c r="D19" s="54"/>
      <c r="E19" s="54"/>
      <c r="F19" s="52"/>
      <c r="G19" s="54"/>
      <c r="H19" s="53"/>
    </row>
    <row r="20" spans="1:8" ht="15.75" thickTop="1" x14ac:dyDescent="0.25">
      <c r="A20" s="126" t="s">
        <v>34</v>
      </c>
      <c r="B20" s="127"/>
      <c r="C20" s="127"/>
      <c r="D20" s="127"/>
      <c r="E20" s="127"/>
      <c r="F20" s="127"/>
      <c r="G20" s="127"/>
      <c r="H20" s="128"/>
    </row>
    <row r="21" spans="1:8" ht="7.5" customHeight="1" x14ac:dyDescent="0.25">
      <c r="A21" s="129"/>
      <c r="B21" s="130"/>
      <c r="C21" s="130"/>
      <c r="D21" s="130"/>
      <c r="E21" s="130"/>
      <c r="F21" s="130"/>
      <c r="G21" s="130"/>
      <c r="H21" s="131"/>
    </row>
    <row r="22" spans="1:8" ht="15.75" thickBot="1" x14ac:dyDescent="0.3">
      <c r="A22" s="132"/>
      <c r="B22" s="133"/>
      <c r="C22" s="133"/>
      <c r="D22" s="133"/>
      <c r="E22" s="133"/>
      <c r="F22" s="133"/>
      <c r="G22" s="133"/>
      <c r="H22" s="134"/>
    </row>
    <row r="23" spans="1:8" ht="21" customHeight="1" thickTop="1" x14ac:dyDescent="0.25">
      <c r="A23" s="143" t="s">
        <v>39</v>
      </c>
      <c r="B23" s="144"/>
      <c r="C23" s="145"/>
      <c r="D23" s="139" t="s">
        <v>38</v>
      </c>
      <c r="E23" s="141" t="s">
        <v>37</v>
      </c>
      <c r="F23" s="139" t="s">
        <v>36</v>
      </c>
      <c r="G23" s="135" t="s">
        <v>35</v>
      </c>
      <c r="H23" s="136"/>
    </row>
    <row r="24" spans="1:8" ht="15.75" thickBot="1" x14ac:dyDescent="0.3">
      <c r="A24" s="146"/>
      <c r="B24" s="147"/>
      <c r="C24" s="148"/>
      <c r="D24" s="140"/>
      <c r="E24" s="142"/>
      <c r="F24" s="140"/>
      <c r="G24" s="137"/>
      <c r="H24" s="138"/>
    </row>
    <row r="25" spans="1:8" ht="15.75" thickTop="1" x14ac:dyDescent="0.25">
      <c r="A25" s="117"/>
      <c r="B25" s="118"/>
      <c r="C25" s="119"/>
      <c r="D25" s="55"/>
      <c r="E25" s="55"/>
      <c r="F25" s="55"/>
      <c r="G25" s="115"/>
      <c r="H25" s="116"/>
    </row>
    <row r="26" spans="1:8" x14ac:dyDescent="0.25">
      <c r="A26" s="101"/>
      <c r="B26" s="102"/>
      <c r="C26" s="103"/>
      <c r="D26" s="56"/>
      <c r="E26" s="56"/>
      <c r="F26" s="56"/>
      <c r="G26" s="107"/>
      <c r="H26" s="108"/>
    </row>
    <row r="27" spans="1:8" x14ac:dyDescent="0.25">
      <c r="A27" s="101"/>
      <c r="B27" s="102"/>
      <c r="C27" s="103"/>
      <c r="D27" s="56"/>
      <c r="E27" s="56"/>
      <c r="F27" s="56"/>
      <c r="G27" s="107"/>
      <c r="H27" s="108"/>
    </row>
    <row r="28" spans="1:8" x14ac:dyDescent="0.25">
      <c r="A28" s="101"/>
      <c r="B28" s="102"/>
      <c r="C28" s="103"/>
      <c r="D28" s="56"/>
      <c r="E28" s="56"/>
      <c r="F28" s="56"/>
      <c r="G28" s="107"/>
      <c r="H28" s="108"/>
    </row>
    <row r="29" spans="1:8" x14ac:dyDescent="0.25">
      <c r="A29" s="101"/>
      <c r="B29" s="102"/>
      <c r="C29" s="103"/>
      <c r="D29" s="56"/>
      <c r="E29" s="56"/>
      <c r="F29" s="56"/>
      <c r="G29" s="107"/>
      <c r="H29" s="108"/>
    </row>
    <row r="30" spans="1:8" x14ac:dyDescent="0.25">
      <c r="A30" s="101"/>
      <c r="B30" s="102"/>
      <c r="C30" s="103"/>
      <c r="D30" s="56"/>
      <c r="E30" s="56"/>
      <c r="F30" s="56"/>
      <c r="G30" s="107"/>
      <c r="H30" s="108"/>
    </row>
    <row r="31" spans="1:8" x14ac:dyDescent="0.25">
      <c r="A31" s="101"/>
      <c r="B31" s="102"/>
      <c r="C31" s="103"/>
      <c r="D31" s="56"/>
      <c r="E31" s="56"/>
      <c r="F31" s="56"/>
      <c r="G31" s="107"/>
      <c r="H31" s="108"/>
    </row>
    <row r="32" spans="1:8" x14ac:dyDescent="0.25">
      <c r="A32" s="101"/>
      <c r="B32" s="102"/>
      <c r="C32" s="103"/>
      <c r="D32" s="56"/>
      <c r="E32" s="56"/>
      <c r="F32" s="56"/>
      <c r="G32" s="107"/>
      <c r="H32" s="108"/>
    </row>
    <row r="33" spans="1:8" x14ac:dyDescent="0.25">
      <c r="A33" s="101"/>
      <c r="B33" s="102"/>
      <c r="C33" s="103"/>
      <c r="D33" s="56"/>
      <c r="E33" s="56"/>
      <c r="F33" s="56"/>
      <c r="G33" s="107"/>
      <c r="H33" s="108"/>
    </row>
    <row r="34" spans="1:8" x14ac:dyDescent="0.25">
      <c r="A34" s="101"/>
      <c r="B34" s="102"/>
      <c r="C34" s="103"/>
      <c r="D34" s="56"/>
      <c r="E34" s="56"/>
      <c r="F34" s="56"/>
      <c r="G34" s="107"/>
      <c r="H34" s="108"/>
    </row>
    <row r="35" spans="1:8" x14ac:dyDescent="0.25">
      <c r="A35" s="101"/>
      <c r="B35" s="102"/>
      <c r="C35" s="103"/>
      <c r="D35" s="56"/>
      <c r="E35" s="56"/>
      <c r="F35" s="56"/>
      <c r="G35" s="107"/>
      <c r="H35" s="108"/>
    </row>
    <row r="36" spans="1:8" ht="15.75" thickBot="1" x14ac:dyDescent="0.3">
      <c r="A36" s="104"/>
      <c r="B36" s="105"/>
      <c r="C36" s="106"/>
      <c r="D36" s="57"/>
      <c r="E36" s="57"/>
      <c r="F36" s="57"/>
      <c r="G36" s="113"/>
      <c r="H36" s="114"/>
    </row>
    <row r="37" spans="1:8" ht="15.75" thickBot="1" x14ac:dyDescent="0.3">
      <c r="A37" s="63"/>
      <c r="B37" s="64"/>
      <c r="C37" s="64"/>
      <c r="D37" s="65"/>
      <c r="E37" s="59" t="s">
        <v>40</v>
      </c>
      <c r="F37" s="59" t="s">
        <v>36</v>
      </c>
      <c r="G37" s="109" t="s">
        <v>41</v>
      </c>
      <c r="H37" s="110"/>
    </row>
    <row r="38" spans="1:8" ht="15.75" thickBot="1" x14ac:dyDescent="0.3">
      <c r="A38" s="50"/>
      <c r="B38" s="40"/>
      <c r="C38" s="40"/>
      <c r="D38" s="40"/>
      <c r="E38" s="58"/>
      <c r="F38" s="58"/>
      <c r="G38" s="111"/>
      <c r="H38" s="112"/>
    </row>
    <row r="39" spans="1:8" ht="15.75" thickTop="1" x14ac:dyDescent="0.25">
      <c r="A39" s="47" t="s">
        <v>42</v>
      </c>
      <c r="B39" s="48"/>
      <c r="C39" s="48"/>
      <c r="D39" s="48"/>
      <c r="E39" s="40"/>
      <c r="F39" s="40"/>
      <c r="G39" s="40"/>
      <c r="H39" s="51"/>
    </row>
    <row r="40" spans="1:8" ht="12" customHeight="1" x14ac:dyDescent="0.25">
      <c r="A40" s="67" t="s">
        <v>43</v>
      </c>
      <c r="B40" s="40"/>
      <c r="C40" s="40"/>
      <c r="D40" s="40"/>
      <c r="E40" s="40"/>
      <c r="F40" s="40"/>
      <c r="G40" s="40"/>
      <c r="H40" s="51"/>
    </row>
    <row r="41" spans="1:8" ht="15.75" thickBot="1" x14ac:dyDescent="0.3">
      <c r="A41" s="60"/>
      <c r="B41" s="61"/>
      <c r="C41" s="61"/>
      <c r="D41" s="61"/>
      <c r="E41" s="61"/>
      <c r="F41" s="61"/>
      <c r="G41" s="61"/>
      <c r="H41" s="62"/>
    </row>
    <row r="42" spans="1:8" ht="15.75" thickTop="1" x14ac:dyDescent="0.25">
      <c r="A42" s="47" t="s">
        <v>44</v>
      </c>
      <c r="B42" s="48"/>
      <c r="C42" s="48"/>
      <c r="D42" s="48" t="s">
        <v>45</v>
      </c>
      <c r="E42" s="48"/>
      <c r="F42" s="48" t="s">
        <v>46</v>
      </c>
      <c r="G42" s="48"/>
      <c r="H42" s="49"/>
    </row>
    <row r="43" spans="1:8" x14ac:dyDescent="0.25">
      <c r="A43" s="50"/>
      <c r="B43" s="40"/>
      <c r="C43" s="40"/>
      <c r="D43" s="40"/>
      <c r="E43" s="40"/>
      <c r="F43" s="40"/>
      <c r="G43" s="40"/>
      <c r="H43" s="51"/>
    </row>
    <row r="44" spans="1:8" ht="15.75" thickBot="1" x14ac:dyDescent="0.3">
      <c r="A44" s="52" t="s">
        <v>53</v>
      </c>
      <c r="B44" s="54"/>
      <c r="C44" s="54"/>
      <c r="D44" s="54" t="s">
        <v>47</v>
      </c>
      <c r="E44" s="54"/>
      <c r="F44" s="54" t="s">
        <v>48</v>
      </c>
      <c r="G44" s="54"/>
      <c r="H44" s="53"/>
    </row>
    <row r="45" spans="1:8" ht="15.75" thickTop="1" x14ac:dyDescent="0.25">
      <c r="A45" s="50" t="s">
        <v>49</v>
      </c>
      <c r="B45" s="40"/>
      <c r="C45" s="40"/>
      <c r="D45" s="40" t="s">
        <v>50</v>
      </c>
      <c r="E45" s="40"/>
      <c r="F45" s="40" t="s">
        <v>51</v>
      </c>
      <c r="G45" s="40"/>
      <c r="H45" s="51"/>
    </row>
    <row r="46" spans="1:8" ht="15.75" thickBot="1" x14ac:dyDescent="0.3">
      <c r="A46" s="67" t="s">
        <v>52</v>
      </c>
      <c r="B46" s="40"/>
      <c r="C46" s="40"/>
      <c r="D46" s="66" t="s">
        <v>55</v>
      </c>
      <c r="E46" s="40"/>
      <c r="F46" s="66" t="s">
        <v>54</v>
      </c>
      <c r="G46" s="40"/>
      <c r="H46" s="51"/>
    </row>
    <row r="47" spans="1:8" ht="15.75" thickTop="1" x14ac:dyDescent="0.25">
      <c r="A47" s="48" t="s">
        <v>56</v>
      </c>
      <c r="B47" s="48"/>
      <c r="C47" s="48"/>
      <c r="D47" s="48"/>
      <c r="E47" s="48"/>
      <c r="F47" s="48"/>
      <c r="G47" s="48"/>
      <c r="H47" s="48"/>
    </row>
    <row r="48" spans="1:8" x14ac:dyDescent="0.25">
      <c r="A48" s="40"/>
      <c r="B48" s="40"/>
      <c r="C48" s="40"/>
      <c r="D48" s="40"/>
      <c r="E48" s="40"/>
      <c r="F48" s="40"/>
      <c r="G48" s="40"/>
      <c r="H48" s="40"/>
    </row>
    <row r="49" spans="1:8" x14ac:dyDescent="0.25">
      <c r="A49" s="40"/>
      <c r="B49" s="40"/>
      <c r="C49" s="40"/>
      <c r="D49" s="40"/>
      <c r="E49" s="40"/>
      <c r="F49" s="40"/>
      <c r="G49" s="40"/>
      <c r="H49" s="40"/>
    </row>
    <row r="50" spans="1:8" x14ac:dyDescent="0.25">
      <c r="A50" s="40"/>
      <c r="B50" s="40"/>
      <c r="C50" s="40"/>
      <c r="D50" s="40"/>
      <c r="E50" s="40"/>
      <c r="F50" s="40"/>
      <c r="G50" s="40"/>
      <c r="H50" s="40"/>
    </row>
    <row r="51" spans="1:8" x14ac:dyDescent="0.25">
      <c r="A51" s="40"/>
      <c r="B51" s="40"/>
      <c r="C51" s="40"/>
      <c r="D51" s="40"/>
      <c r="E51" s="40"/>
      <c r="F51" s="40"/>
      <c r="G51" s="40"/>
      <c r="H51" s="40"/>
    </row>
    <row r="52" spans="1:8" x14ac:dyDescent="0.25">
      <c r="A52" s="40"/>
      <c r="B52" s="40"/>
      <c r="C52" s="40"/>
      <c r="D52" s="40"/>
      <c r="E52" s="40"/>
      <c r="F52" s="40"/>
      <c r="G52" s="40"/>
      <c r="H52" s="40"/>
    </row>
    <row r="53" spans="1:8" x14ac:dyDescent="0.25">
      <c r="A53" s="40"/>
      <c r="B53" s="40"/>
      <c r="C53" s="40"/>
      <c r="D53" s="40"/>
      <c r="E53" s="40"/>
      <c r="F53" s="40"/>
      <c r="G53" s="40"/>
      <c r="H53" s="40"/>
    </row>
    <row r="54" spans="1:8" x14ac:dyDescent="0.25">
      <c r="A54" s="40"/>
      <c r="B54" s="40"/>
      <c r="C54" s="40"/>
      <c r="D54" s="40"/>
      <c r="E54" s="40"/>
      <c r="F54" s="40"/>
      <c r="G54" s="40"/>
      <c r="H54" s="40"/>
    </row>
    <row r="55" spans="1:8" x14ac:dyDescent="0.25">
      <c r="A55" s="40"/>
      <c r="B55" s="40"/>
      <c r="C55" s="40"/>
      <c r="D55" s="40"/>
      <c r="E55" s="40"/>
      <c r="F55" s="40"/>
      <c r="G55" s="40"/>
      <c r="H55" s="40"/>
    </row>
    <row r="56" spans="1:8" x14ac:dyDescent="0.25">
      <c r="A56" s="40"/>
      <c r="B56" s="40"/>
      <c r="C56" s="40"/>
      <c r="D56" s="40"/>
      <c r="E56" s="40"/>
      <c r="F56" s="40"/>
      <c r="G56" s="40"/>
      <c r="H56" s="40"/>
    </row>
    <row r="57" spans="1:8" x14ac:dyDescent="0.25">
      <c r="A57" s="45"/>
      <c r="B57" s="45"/>
      <c r="C57" s="45"/>
      <c r="D57" s="45"/>
      <c r="E57" s="45"/>
      <c r="F57" s="45"/>
      <c r="G57" s="45"/>
      <c r="H57" s="45"/>
    </row>
    <row r="58" spans="1:8" x14ac:dyDescent="0.25">
      <c r="A58" s="45"/>
      <c r="B58" s="45"/>
      <c r="C58" s="45"/>
      <c r="D58" s="45"/>
      <c r="E58" s="45"/>
      <c r="F58" s="45"/>
      <c r="G58" s="45"/>
      <c r="H58" s="45"/>
    </row>
    <row r="59" spans="1:8" x14ac:dyDescent="0.25">
      <c r="A59" s="45"/>
      <c r="B59" s="45"/>
      <c r="C59" s="45"/>
      <c r="D59" s="45"/>
      <c r="E59" s="45"/>
      <c r="F59" s="45"/>
      <c r="G59" s="45"/>
      <c r="H59" s="45"/>
    </row>
    <row r="60" spans="1:8" x14ac:dyDescent="0.25">
      <c r="A60" s="45"/>
      <c r="B60" s="45"/>
      <c r="C60" s="45"/>
      <c r="D60" s="45"/>
      <c r="E60" s="45"/>
      <c r="F60" s="45"/>
      <c r="G60" s="45"/>
      <c r="H60" s="45"/>
    </row>
    <row r="61" spans="1:8" x14ac:dyDescent="0.25">
      <c r="A61" s="45"/>
      <c r="B61" s="45"/>
      <c r="C61" s="45"/>
      <c r="D61" s="45"/>
      <c r="E61" s="45"/>
      <c r="F61" s="45"/>
      <c r="G61" s="45"/>
      <c r="H61" s="45"/>
    </row>
    <row r="62" spans="1:8" x14ac:dyDescent="0.25">
      <c r="A62" s="45"/>
      <c r="B62" s="45"/>
      <c r="C62" s="45"/>
      <c r="D62" s="45"/>
      <c r="E62" s="45"/>
      <c r="F62" s="45"/>
      <c r="G62" s="45"/>
      <c r="H62" s="45"/>
    </row>
    <row r="63" spans="1:8" x14ac:dyDescent="0.25">
      <c r="A63" s="45"/>
      <c r="B63" s="45"/>
      <c r="C63" s="45"/>
      <c r="D63" s="45"/>
      <c r="E63" s="45"/>
      <c r="F63" s="45"/>
      <c r="G63" s="45"/>
      <c r="H63" s="45"/>
    </row>
    <row r="64" spans="1:8" x14ac:dyDescent="0.25">
      <c r="A64" s="45"/>
      <c r="B64" s="45"/>
      <c r="C64" s="45"/>
      <c r="D64" s="45"/>
      <c r="E64" s="45"/>
      <c r="F64" s="45"/>
      <c r="G64" s="45"/>
      <c r="H64" s="45"/>
    </row>
    <row r="65" spans="1:8" x14ac:dyDescent="0.25">
      <c r="A65" s="45"/>
      <c r="B65" s="45"/>
      <c r="C65" s="45"/>
      <c r="D65" s="45"/>
      <c r="E65" s="45"/>
      <c r="F65" s="45"/>
      <c r="G65" s="45"/>
      <c r="H65" s="45"/>
    </row>
    <row r="66" spans="1:8" x14ac:dyDescent="0.25">
      <c r="A66" s="45"/>
      <c r="B66" s="45"/>
      <c r="C66" s="45"/>
      <c r="D66" s="45"/>
      <c r="E66" s="45"/>
      <c r="F66" s="45"/>
      <c r="G66" s="45"/>
      <c r="H66" s="45"/>
    </row>
    <row r="67" spans="1:8" x14ac:dyDescent="0.25">
      <c r="A67" s="45"/>
      <c r="B67" s="45"/>
      <c r="C67" s="45"/>
      <c r="D67" s="45"/>
      <c r="E67" s="45"/>
      <c r="F67" s="45"/>
      <c r="G67" s="45"/>
      <c r="H67" s="45"/>
    </row>
    <row r="68" spans="1:8" x14ac:dyDescent="0.25">
      <c r="A68" s="45"/>
      <c r="B68" s="45"/>
      <c r="C68" s="45"/>
      <c r="D68" s="45"/>
      <c r="E68" s="45"/>
      <c r="F68" s="45"/>
      <c r="G68" s="45"/>
      <c r="H68" s="45"/>
    </row>
    <row r="69" spans="1:8" x14ac:dyDescent="0.25">
      <c r="A69" s="45"/>
      <c r="B69" s="45"/>
      <c r="C69" s="45"/>
      <c r="D69" s="45"/>
      <c r="E69" s="45"/>
      <c r="F69" s="45"/>
      <c r="G69" s="45"/>
      <c r="H69" s="45"/>
    </row>
    <row r="70" spans="1:8" x14ac:dyDescent="0.25">
      <c r="A70" s="45"/>
      <c r="B70" s="45"/>
      <c r="C70" s="45"/>
      <c r="D70" s="45"/>
      <c r="E70" s="45"/>
      <c r="F70" s="45"/>
      <c r="G70" s="45"/>
      <c r="H70" s="45"/>
    </row>
    <row r="71" spans="1:8" x14ac:dyDescent="0.25">
      <c r="A71" s="45"/>
      <c r="B71" s="45"/>
      <c r="C71" s="45"/>
      <c r="D71" s="45"/>
      <c r="E71" s="45"/>
      <c r="F71" s="45"/>
      <c r="G71" s="45"/>
      <c r="H71" s="45"/>
    </row>
    <row r="72" spans="1:8" x14ac:dyDescent="0.25">
      <c r="A72" s="45"/>
      <c r="B72" s="45"/>
      <c r="C72" s="45"/>
      <c r="D72" s="45"/>
      <c r="E72" s="45"/>
      <c r="F72" s="45"/>
      <c r="G72" s="45"/>
      <c r="H72" s="45"/>
    </row>
    <row r="73" spans="1:8" x14ac:dyDescent="0.25">
      <c r="A73" s="45"/>
      <c r="B73" s="45"/>
      <c r="C73" s="45"/>
      <c r="D73" s="45"/>
      <c r="E73" s="45"/>
      <c r="F73" s="45"/>
      <c r="G73" s="45"/>
      <c r="H73" s="45"/>
    </row>
    <row r="74" spans="1:8" x14ac:dyDescent="0.25">
      <c r="A74" s="45"/>
      <c r="B74" s="45"/>
      <c r="C74" s="45"/>
      <c r="D74" s="45"/>
      <c r="E74" s="45"/>
      <c r="F74" s="45"/>
      <c r="G74" s="45"/>
      <c r="H74" s="45"/>
    </row>
    <row r="75" spans="1:8" x14ac:dyDescent="0.25">
      <c r="A75" s="45"/>
      <c r="B75" s="45"/>
      <c r="C75" s="45"/>
      <c r="D75" s="45"/>
      <c r="E75" s="45"/>
      <c r="F75" s="45"/>
      <c r="G75" s="45"/>
      <c r="H75" s="45"/>
    </row>
    <row r="76" spans="1:8" x14ac:dyDescent="0.25">
      <c r="A76" s="45"/>
      <c r="B76" s="45"/>
      <c r="C76" s="45"/>
      <c r="D76" s="45"/>
      <c r="E76" s="45"/>
      <c r="F76" s="45"/>
      <c r="G76" s="45"/>
      <c r="H76" s="45"/>
    </row>
    <row r="77" spans="1:8" x14ac:dyDescent="0.25">
      <c r="A77" s="45"/>
      <c r="B77" s="45"/>
      <c r="C77" s="45"/>
      <c r="D77" s="45"/>
      <c r="E77" s="45"/>
      <c r="F77" s="45"/>
      <c r="G77" s="45"/>
      <c r="H77" s="45"/>
    </row>
    <row r="78" spans="1:8" x14ac:dyDescent="0.25">
      <c r="A78" s="45"/>
      <c r="B78" s="45"/>
      <c r="C78" s="45"/>
      <c r="D78" s="45"/>
      <c r="E78" s="45"/>
      <c r="F78" s="45"/>
      <c r="G78" s="45"/>
      <c r="H78" s="45"/>
    </row>
    <row r="79" spans="1:8" x14ac:dyDescent="0.25">
      <c r="A79" s="45"/>
      <c r="B79" s="45"/>
      <c r="C79" s="45"/>
      <c r="D79" s="45"/>
      <c r="E79" s="45"/>
      <c r="F79" s="45"/>
      <c r="G79" s="45"/>
      <c r="H79" s="45"/>
    </row>
    <row r="80" spans="1:8" x14ac:dyDescent="0.25">
      <c r="A80" s="45"/>
      <c r="B80" s="45"/>
      <c r="C80" s="45"/>
      <c r="D80" s="45"/>
      <c r="E80" s="45"/>
      <c r="F80" s="45"/>
      <c r="G80" s="45"/>
      <c r="H80" s="45"/>
    </row>
    <row r="81" spans="1:8" x14ac:dyDescent="0.25">
      <c r="A81" s="45"/>
      <c r="B81" s="45"/>
      <c r="C81" s="45"/>
      <c r="D81" s="45"/>
      <c r="E81" s="45"/>
      <c r="F81" s="45"/>
      <c r="G81" s="45"/>
      <c r="H81" s="45"/>
    </row>
    <row r="82" spans="1:8" x14ac:dyDescent="0.25">
      <c r="A82" s="45"/>
      <c r="B82" s="45"/>
      <c r="C82" s="45"/>
      <c r="D82" s="45"/>
      <c r="E82" s="45"/>
      <c r="F82" s="45"/>
      <c r="G82" s="45"/>
      <c r="H82" s="45"/>
    </row>
    <row r="83" spans="1:8" x14ac:dyDescent="0.25">
      <c r="A83" s="45"/>
      <c r="B83" s="45"/>
      <c r="C83" s="45"/>
      <c r="D83" s="45"/>
      <c r="E83" s="45"/>
      <c r="F83" s="45"/>
      <c r="G83" s="45"/>
      <c r="H83" s="45"/>
    </row>
    <row r="84" spans="1:8" x14ac:dyDescent="0.25">
      <c r="A84" s="45"/>
      <c r="B84" s="45"/>
      <c r="C84" s="45"/>
      <c r="D84" s="45"/>
      <c r="E84" s="45"/>
      <c r="F84" s="45"/>
      <c r="G84" s="45"/>
      <c r="H84" s="45"/>
    </row>
    <row r="85" spans="1:8" x14ac:dyDescent="0.25">
      <c r="A85" s="45"/>
      <c r="B85" s="45"/>
      <c r="C85" s="45"/>
      <c r="D85" s="45"/>
      <c r="E85" s="45"/>
      <c r="F85" s="45"/>
      <c r="G85" s="45"/>
      <c r="H85" s="45"/>
    </row>
    <row r="86" spans="1:8" x14ac:dyDescent="0.25">
      <c r="A86" s="45"/>
      <c r="B86" s="45"/>
      <c r="C86" s="45"/>
      <c r="D86" s="45"/>
      <c r="E86" s="45"/>
      <c r="F86" s="45"/>
      <c r="G86" s="45"/>
      <c r="H86" s="45"/>
    </row>
    <row r="87" spans="1:8" x14ac:dyDescent="0.25">
      <c r="A87" s="45"/>
      <c r="B87" s="45"/>
      <c r="C87" s="45"/>
      <c r="D87" s="45"/>
      <c r="E87" s="45"/>
      <c r="F87" s="45"/>
      <c r="G87" s="45"/>
      <c r="H87" s="45"/>
    </row>
    <row r="88" spans="1:8" x14ac:dyDescent="0.25">
      <c r="A88" s="45"/>
      <c r="B88" s="45"/>
      <c r="C88" s="45"/>
      <c r="D88" s="45"/>
      <c r="E88" s="45"/>
      <c r="F88" s="45"/>
      <c r="G88" s="45"/>
      <c r="H88" s="45"/>
    </row>
    <row r="89" spans="1:8" x14ac:dyDescent="0.25">
      <c r="A89" s="45"/>
      <c r="B89" s="45"/>
      <c r="C89" s="45"/>
      <c r="D89" s="45"/>
      <c r="E89" s="45"/>
      <c r="F89" s="45"/>
      <c r="G89" s="45"/>
      <c r="H89" s="45"/>
    </row>
    <row r="90" spans="1:8" x14ac:dyDescent="0.25">
      <c r="A90" s="45"/>
      <c r="B90" s="45"/>
      <c r="C90" s="45"/>
      <c r="D90" s="45"/>
      <c r="E90" s="45"/>
      <c r="F90" s="45"/>
      <c r="G90" s="45"/>
      <c r="H90" s="45"/>
    </row>
    <row r="91" spans="1:8" x14ac:dyDescent="0.25">
      <c r="A91" s="45"/>
      <c r="B91" s="45"/>
      <c r="C91" s="45"/>
      <c r="D91" s="45"/>
      <c r="E91" s="45"/>
      <c r="F91" s="45"/>
      <c r="G91" s="45"/>
      <c r="H91" s="45"/>
    </row>
    <row r="92" spans="1:8" x14ac:dyDescent="0.25">
      <c r="A92" s="45"/>
      <c r="B92" s="45"/>
      <c r="C92" s="45"/>
      <c r="D92" s="45"/>
      <c r="E92" s="45"/>
      <c r="F92" s="45"/>
      <c r="G92" s="45"/>
      <c r="H92" s="45"/>
    </row>
    <row r="93" spans="1:8" x14ac:dyDescent="0.25">
      <c r="A93" s="45"/>
      <c r="B93" s="45"/>
      <c r="C93" s="45"/>
      <c r="D93" s="45"/>
      <c r="E93" s="45"/>
      <c r="F93" s="45"/>
      <c r="G93" s="45"/>
      <c r="H93" s="45"/>
    </row>
    <row r="94" spans="1:8" x14ac:dyDescent="0.25">
      <c r="A94" s="45"/>
      <c r="B94" s="45"/>
      <c r="C94" s="45"/>
      <c r="D94" s="45"/>
      <c r="E94" s="45"/>
      <c r="F94" s="45"/>
      <c r="G94" s="45"/>
      <c r="H94" s="45"/>
    </row>
    <row r="95" spans="1:8" x14ac:dyDescent="0.25">
      <c r="A95" s="45"/>
      <c r="B95" s="45"/>
      <c r="C95" s="45"/>
      <c r="D95" s="45"/>
      <c r="E95" s="45"/>
      <c r="F95" s="45"/>
      <c r="G95" s="45"/>
      <c r="H95" s="45"/>
    </row>
    <row r="96" spans="1:8" x14ac:dyDescent="0.25">
      <c r="A96" s="45"/>
      <c r="B96" s="45"/>
      <c r="C96" s="45"/>
      <c r="D96" s="45"/>
      <c r="E96" s="45"/>
      <c r="F96" s="45"/>
      <c r="G96" s="45"/>
      <c r="H96" s="45"/>
    </row>
    <row r="97" spans="1:8" x14ac:dyDescent="0.25">
      <c r="A97" s="45"/>
      <c r="B97" s="45"/>
      <c r="C97" s="45"/>
      <c r="D97" s="45"/>
      <c r="E97" s="45"/>
      <c r="F97" s="45"/>
      <c r="G97" s="45"/>
      <c r="H97" s="45"/>
    </row>
    <row r="98" spans="1:8" x14ac:dyDescent="0.25">
      <c r="A98" s="45"/>
      <c r="B98" s="45"/>
      <c r="C98" s="45"/>
      <c r="D98" s="45"/>
      <c r="E98" s="45"/>
      <c r="F98" s="45"/>
      <c r="G98" s="45"/>
      <c r="H98" s="45"/>
    </row>
    <row r="99" spans="1:8" x14ac:dyDescent="0.25">
      <c r="A99" s="45"/>
      <c r="B99" s="45"/>
      <c r="C99" s="45"/>
      <c r="D99" s="45"/>
      <c r="E99" s="45"/>
      <c r="F99" s="45"/>
      <c r="G99" s="45"/>
      <c r="H99" s="45"/>
    </row>
    <row r="100" spans="1:8" x14ac:dyDescent="0.25">
      <c r="A100" s="45"/>
      <c r="B100" s="45"/>
      <c r="C100" s="45"/>
      <c r="D100" s="45"/>
      <c r="E100" s="45"/>
      <c r="F100" s="45"/>
      <c r="G100" s="45"/>
      <c r="H100" s="45"/>
    </row>
    <row r="101" spans="1:8" x14ac:dyDescent="0.25">
      <c r="A101" s="45"/>
      <c r="B101" s="45"/>
      <c r="C101" s="45"/>
      <c r="D101" s="45"/>
      <c r="E101" s="45"/>
      <c r="F101" s="45"/>
      <c r="G101" s="45"/>
      <c r="H101" s="45"/>
    </row>
    <row r="102" spans="1:8" x14ac:dyDescent="0.25">
      <c r="A102" s="45"/>
      <c r="B102" s="45"/>
      <c r="C102" s="45"/>
      <c r="D102" s="45"/>
      <c r="E102" s="45"/>
      <c r="F102" s="45"/>
      <c r="G102" s="45"/>
      <c r="H102" s="45"/>
    </row>
    <row r="103" spans="1:8" x14ac:dyDescent="0.25">
      <c r="A103" s="45"/>
      <c r="B103" s="45"/>
      <c r="C103" s="45"/>
      <c r="D103" s="45"/>
      <c r="E103" s="45"/>
      <c r="F103" s="45"/>
      <c r="G103" s="45"/>
      <c r="H103" s="45"/>
    </row>
  </sheetData>
  <mergeCells count="33">
    <mergeCell ref="A1:H2"/>
    <mergeCell ref="A20:H22"/>
    <mergeCell ref="G23:H24"/>
    <mergeCell ref="F23:F24"/>
    <mergeCell ref="E23:E24"/>
    <mergeCell ref="D23:D24"/>
    <mergeCell ref="A23:C24"/>
    <mergeCell ref="A30:C30"/>
    <mergeCell ref="G25:H25"/>
    <mergeCell ref="G26:H26"/>
    <mergeCell ref="G27:H27"/>
    <mergeCell ref="G28:H28"/>
    <mergeCell ref="G29:H29"/>
    <mergeCell ref="G30:H30"/>
    <mergeCell ref="A25:C25"/>
    <mergeCell ref="A26:C26"/>
    <mergeCell ref="A27:C27"/>
    <mergeCell ref="A28:C28"/>
    <mergeCell ref="A29:C29"/>
    <mergeCell ref="G37:H37"/>
    <mergeCell ref="G38:H38"/>
    <mergeCell ref="A32:C32"/>
    <mergeCell ref="A33:C33"/>
    <mergeCell ref="G32:H32"/>
    <mergeCell ref="G34:H34"/>
    <mergeCell ref="G35:H35"/>
    <mergeCell ref="G36:H36"/>
    <mergeCell ref="G33:H33"/>
    <mergeCell ref="A31:C31"/>
    <mergeCell ref="A34:C34"/>
    <mergeCell ref="A35:C35"/>
    <mergeCell ref="A36:C36"/>
    <mergeCell ref="G31:H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Entrée</vt:lpstr>
      <vt:lpstr>Sortie</vt:lpstr>
      <vt:lpstr>Suivi de stock</vt:lpstr>
      <vt:lpstr>Devis</vt:lpstr>
      <vt:lpstr>Fiche de commande</vt:lpstr>
      <vt:lpstr>Entrée</vt:lpstr>
      <vt:lpstr>Sortie</vt:lpstr>
      <vt:lpstr>Tableau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Chataigner</dc:creator>
  <cp:lastModifiedBy>Kévin Chataigner</cp:lastModifiedBy>
  <cp:lastPrinted>2016-03-21T09:14:07Z</cp:lastPrinted>
  <dcterms:created xsi:type="dcterms:W3CDTF">2016-02-22T15:00:41Z</dcterms:created>
  <dcterms:modified xsi:type="dcterms:W3CDTF">2016-04-02T22:41:17Z</dcterms:modified>
</cp:coreProperties>
</file>