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/>
  </bookViews>
  <sheets>
    <sheet name="mokhtar" sheetId="1" r:id="rId1"/>
    <sheet name="Feuil2" sheetId="2" r:id="rId2"/>
    <sheet name="Feuil3" sheetId="3" r:id="rId3"/>
  </sheets>
  <definedNames>
    <definedName name="Biens">mokhtar!$A$27:$G$46</definedName>
    <definedName name="Tparts">mokhtar!$H$23</definedName>
    <definedName name="Tvaleurs">mokhtar!$F$47</definedName>
  </definedNames>
  <calcPr calcId="124519"/>
</workbook>
</file>

<file path=xl/calcChain.xml><?xml version="1.0" encoding="utf-8"?>
<calcChain xmlns="http://schemas.openxmlformats.org/spreadsheetml/2006/main">
  <c r="S4" i="1"/>
  <c r="T5"/>
  <c r="U6"/>
  <c r="V7"/>
  <c r="W8"/>
  <c r="X9"/>
  <c r="Y10"/>
  <c r="Z11"/>
  <c r="AA12"/>
  <c r="AB13"/>
  <c r="AC14"/>
  <c r="AD15"/>
  <c r="AE16"/>
  <c r="AF17"/>
  <c r="AG18"/>
  <c r="AH19"/>
  <c r="AI20"/>
  <c r="AJ21"/>
  <c r="AK22"/>
  <c r="R3"/>
  <c r="K9" l="1"/>
  <c r="L9"/>
  <c r="N9" s="1"/>
  <c r="K10"/>
  <c r="L10"/>
  <c r="N10" s="1"/>
  <c r="L4"/>
  <c r="L5"/>
  <c r="N5" s="1"/>
  <c r="L6"/>
  <c r="L7"/>
  <c r="L8"/>
  <c r="L11"/>
  <c r="L12"/>
  <c r="L13"/>
  <c r="N13" s="1"/>
  <c r="L14"/>
  <c r="L15"/>
  <c r="L16"/>
  <c r="L17"/>
  <c r="N17" s="1"/>
  <c r="L18"/>
  <c r="L19"/>
  <c r="L20"/>
  <c r="L21"/>
  <c r="N21" s="1"/>
  <c r="L22"/>
  <c r="L3"/>
  <c r="K4"/>
  <c r="K5"/>
  <c r="K6"/>
  <c r="K7"/>
  <c r="K8"/>
  <c r="K11"/>
  <c r="K12"/>
  <c r="K13"/>
  <c r="K14"/>
  <c r="K15"/>
  <c r="K16"/>
  <c r="K17"/>
  <c r="K18"/>
  <c r="K19"/>
  <c r="K20"/>
  <c r="K21"/>
  <c r="K22"/>
  <c r="K3"/>
  <c r="F47"/>
  <c r="H23"/>
  <c r="V4" l="1"/>
  <c r="Z4"/>
  <c r="AD4"/>
  <c r="AH4"/>
  <c r="S5"/>
  <c r="W5"/>
  <c r="AA5"/>
  <c r="AE5"/>
  <c r="AI5"/>
  <c r="T6"/>
  <c r="X6"/>
  <c r="AB6"/>
  <c r="AF6"/>
  <c r="AJ6"/>
  <c r="U7"/>
  <c r="Y7"/>
  <c r="AC7"/>
  <c r="AG7"/>
  <c r="AK7"/>
  <c r="V8"/>
  <c r="Z8"/>
  <c r="AD8"/>
  <c r="AH8"/>
  <c r="S9"/>
  <c r="W9"/>
  <c r="AA9"/>
  <c r="AE9"/>
  <c r="AI9"/>
  <c r="T10"/>
  <c r="X10"/>
  <c r="AB10"/>
  <c r="AF10"/>
  <c r="AJ10"/>
  <c r="U11"/>
  <c r="Y11"/>
  <c r="AC11"/>
  <c r="AG11"/>
  <c r="AK11"/>
  <c r="V12"/>
  <c r="Z12"/>
  <c r="AD12"/>
  <c r="AH12"/>
  <c r="S13"/>
  <c r="W13"/>
  <c r="AA13"/>
  <c r="AE13"/>
  <c r="AI13"/>
  <c r="T14"/>
  <c r="X14"/>
  <c r="AB14"/>
  <c r="AF14"/>
  <c r="AJ14"/>
  <c r="U15"/>
  <c r="Y15"/>
  <c r="AC15"/>
  <c r="AG15"/>
  <c r="AK15"/>
  <c r="V16"/>
  <c r="Z16"/>
  <c r="AD16"/>
  <c r="AH16"/>
  <c r="S17"/>
  <c r="W17"/>
  <c r="AA17"/>
  <c r="AE17"/>
  <c r="AI17"/>
  <c r="T18"/>
  <c r="X18"/>
  <c r="AB18"/>
  <c r="AF18"/>
  <c r="AJ18"/>
  <c r="U19"/>
  <c r="Y19"/>
  <c r="AC19"/>
  <c r="AG19"/>
  <c r="AK19"/>
  <c r="V20"/>
  <c r="Z20"/>
  <c r="AD20"/>
  <c r="AH20"/>
  <c r="S21"/>
  <c r="W21"/>
  <c r="AA21"/>
  <c r="AE21"/>
  <c r="AI21"/>
  <c r="T22"/>
  <c r="X22"/>
  <c r="AB22"/>
  <c r="AF22"/>
  <c r="AJ22"/>
  <c r="AI3"/>
  <c r="AE3"/>
  <c r="AA3"/>
  <c r="W3"/>
  <c r="S3"/>
  <c r="R7"/>
  <c r="R11"/>
  <c r="R15"/>
  <c r="R19"/>
  <c r="AC5"/>
  <c r="AJ8"/>
  <c r="Y9"/>
  <c r="AG9"/>
  <c r="V10"/>
  <c r="AD10"/>
  <c r="S11"/>
  <c r="AA11"/>
  <c r="AI11"/>
  <c r="X12"/>
  <c r="AF12"/>
  <c r="U13"/>
  <c r="AC13"/>
  <c r="AK13"/>
  <c r="Z14"/>
  <c r="AH14"/>
  <c r="W15"/>
  <c r="AE15"/>
  <c r="T16"/>
  <c r="AF16"/>
  <c r="U17"/>
  <c r="AC17"/>
  <c r="AK17"/>
  <c r="Z18"/>
  <c r="AH18"/>
  <c r="W19"/>
  <c r="AE19"/>
  <c r="T20"/>
  <c r="AB20"/>
  <c r="AJ20"/>
  <c r="Y21"/>
  <c r="AG21"/>
  <c r="V22"/>
  <c r="AD22"/>
  <c r="AG3"/>
  <c r="Y3"/>
  <c r="R5"/>
  <c r="R13"/>
  <c r="R21"/>
  <c r="W4"/>
  <c r="AB5"/>
  <c r="AC6"/>
  <c r="AK6"/>
  <c r="AD7"/>
  <c r="S8"/>
  <c r="AA8"/>
  <c r="T9"/>
  <c r="AB9"/>
  <c r="AJ9"/>
  <c r="AG10"/>
  <c r="V11"/>
  <c r="AD11"/>
  <c r="S12"/>
  <c r="AI12"/>
  <c r="X13"/>
  <c r="AF13"/>
  <c r="U14"/>
  <c r="AK14"/>
  <c r="Z15"/>
  <c r="AH15"/>
  <c r="W16"/>
  <c r="T17"/>
  <c r="AB17"/>
  <c r="AJ17"/>
  <c r="Y18"/>
  <c r="AK18"/>
  <c r="Z19"/>
  <c r="W20"/>
  <c r="AE20"/>
  <c r="T21"/>
  <c r="AB21"/>
  <c r="Y22"/>
  <c r="AG22"/>
  <c r="AH3"/>
  <c r="V3"/>
  <c r="R8"/>
  <c r="R16"/>
  <c r="U4"/>
  <c r="Y4"/>
  <c r="AC4"/>
  <c r="AG4"/>
  <c r="AK4"/>
  <c r="V5"/>
  <c r="Z5"/>
  <c r="AD5"/>
  <c r="AH5"/>
  <c r="S6"/>
  <c r="W6"/>
  <c r="AA6"/>
  <c r="AE6"/>
  <c r="AI6"/>
  <c r="T7"/>
  <c r="X7"/>
  <c r="AB7"/>
  <c r="AF7"/>
  <c r="AJ7"/>
  <c r="U8"/>
  <c r="Y8"/>
  <c r="AC8"/>
  <c r="AG8"/>
  <c r="AK8"/>
  <c r="V9"/>
  <c r="Z9"/>
  <c r="AD9"/>
  <c r="AH9"/>
  <c r="S10"/>
  <c r="W10"/>
  <c r="AA10"/>
  <c r="AE10"/>
  <c r="AI10"/>
  <c r="T11"/>
  <c r="X11"/>
  <c r="AB11"/>
  <c r="AF11"/>
  <c r="AJ11"/>
  <c r="U12"/>
  <c r="Y12"/>
  <c r="AC12"/>
  <c r="AG12"/>
  <c r="AK12"/>
  <c r="V13"/>
  <c r="Z13"/>
  <c r="AD13"/>
  <c r="AH13"/>
  <c r="S14"/>
  <c r="W14"/>
  <c r="AA14"/>
  <c r="AE14"/>
  <c r="AI14"/>
  <c r="T15"/>
  <c r="X15"/>
  <c r="AB15"/>
  <c r="AF15"/>
  <c r="AJ15"/>
  <c r="U16"/>
  <c r="Y16"/>
  <c r="AC16"/>
  <c r="AG16"/>
  <c r="AK16"/>
  <c r="V17"/>
  <c r="Z17"/>
  <c r="AD17"/>
  <c r="AH17"/>
  <c r="S18"/>
  <c r="W18"/>
  <c r="AA18"/>
  <c r="AE18"/>
  <c r="AI18"/>
  <c r="T19"/>
  <c r="X19"/>
  <c r="AB19"/>
  <c r="AF19"/>
  <c r="AJ19"/>
  <c r="U20"/>
  <c r="Y20"/>
  <c r="AC20"/>
  <c r="AG20"/>
  <c r="AK20"/>
  <c r="V21"/>
  <c r="Z21"/>
  <c r="AD21"/>
  <c r="AH21"/>
  <c r="S22"/>
  <c r="W22"/>
  <c r="AA22"/>
  <c r="AE22"/>
  <c r="AI22"/>
  <c r="AJ3"/>
  <c r="AF3"/>
  <c r="AB3"/>
  <c r="X3"/>
  <c r="T3"/>
  <c r="R6"/>
  <c r="R10"/>
  <c r="R14"/>
  <c r="R18"/>
  <c r="R22"/>
  <c r="T4"/>
  <c r="X4"/>
  <c r="AB4"/>
  <c r="AF4"/>
  <c r="AJ4"/>
  <c r="U5"/>
  <c r="Y5"/>
  <c r="AG5"/>
  <c r="AK5"/>
  <c r="V6"/>
  <c r="Z6"/>
  <c r="AD6"/>
  <c r="AH6"/>
  <c r="S7"/>
  <c r="W7"/>
  <c r="AA7"/>
  <c r="AE7"/>
  <c r="AI7"/>
  <c r="T8"/>
  <c r="X8"/>
  <c r="AB8"/>
  <c r="AF8"/>
  <c r="U9"/>
  <c r="AC9"/>
  <c r="AK9"/>
  <c r="Z10"/>
  <c r="AH10"/>
  <c r="W11"/>
  <c r="AE11"/>
  <c r="T12"/>
  <c r="AB12"/>
  <c r="AJ12"/>
  <c r="Y13"/>
  <c r="AG13"/>
  <c r="V14"/>
  <c r="AD14"/>
  <c r="S15"/>
  <c r="AA15"/>
  <c r="AI15"/>
  <c r="X16"/>
  <c r="AB16"/>
  <c r="AJ16"/>
  <c r="Y17"/>
  <c r="AG17"/>
  <c r="V18"/>
  <c r="AD18"/>
  <c r="S19"/>
  <c r="AA19"/>
  <c r="AI19"/>
  <c r="X20"/>
  <c r="AF20"/>
  <c r="U21"/>
  <c r="AC21"/>
  <c r="AK21"/>
  <c r="Z22"/>
  <c r="AH22"/>
  <c r="AK3"/>
  <c r="AC3"/>
  <c r="U3"/>
  <c r="R9"/>
  <c r="R17"/>
  <c r="AA4"/>
  <c r="AE4"/>
  <c r="AI4"/>
  <c r="X5"/>
  <c r="AF5"/>
  <c r="AJ5"/>
  <c r="Y6"/>
  <c r="AG6"/>
  <c r="Z7"/>
  <c r="AH7"/>
  <c r="AE8"/>
  <c r="AI8"/>
  <c r="AF9"/>
  <c r="U10"/>
  <c r="AC10"/>
  <c r="AK10"/>
  <c r="AH11"/>
  <c r="W12"/>
  <c r="AE12"/>
  <c r="T13"/>
  <c r="AJ13"/>
  <c r="Y14"/>
  <c r="AG14"/>
  <c r="V15"/>
  <c r="S16"/>
  <c r="AA16"/>
  <c r="AI16"/>
  <c r="X17"/>
  <c r="U18"/>
  <c r="AC18"/>
  <c r="V19"/>
  <c r="AD19"/>
  <c r="S20"/>
  <c r="AA20"/>
  <c r="X21"/>
  <c r="AF21"/>
  <c r="U22"/>
  <c r="AC22"/>
  <c r="AD3"/>
  <c r="Z3"/>
  <c r="R4"/>
  <c r="R12"/>
  <c r="R20"/>
  <c r="AO21"/>
  <c r="AQ21" s="1"/>
  <c r="AM21"/>
  <c r="AO17"/>
  <c r="AM17"/>
  <c r="AO13"/>
  <c r="AQ13" s="1"/>
  <c r="AM13"/>
  <c r="AO10"/>
  <c r="AM10"/>
  <c r="AO5"/>
  <c r="AQ5" s="1"/>
  <c r="AM5"/>
  <c r="AO9"/>
  <c r="AM9"/>
  <c r="AP10"/>
  <c r="AP5"/>
  <c r="AP9"/>
  <c r="AP13"/>
  <c r="AP17"/>
  <c r="AP21"/>
  <c r="M22"/>
  <c r="M18"/>
  <c r="M14"/>
  <c r="M19"/>
  <c r="M15"/>
  <c r="M11"/>
  <c r="M20"/>
  <c r="M16"/>
  <c r="M12"/>
  <c r="M10"/>
  <c r="M9"/>
  <c r="M4"/>
  <c r="I5"/>
  <c r="N11"/>
  <c r="N19"/>
  <c r="M6"/>
  <c r="N22"/>
  <c r="N14"/>
  <c r="N6"/>
  <c r="M3"/>
  <c r="M7"/>
  <c r="N3"/>
  <c r="N15"/>
  <c r="N7"/>
  <c r="AP7" s="1"/>
  <c r="M8"/>
  <c r="N18"/>
  <c r="M17"/>
  <c r="N20"/>
  <c r="AP20" s="1"/>
  <c r="N16"/>
  <c r="N12"/>
  <c r="N8"/>
  <c r="N4"/>
  <c r="O5"/>
  <c r="Q5" s="1"/>
  <c r="M21"/>
  <c r="M13"/>
  <c r="M5"/>
  <c r="I19"/>
  <c r="I11"/>
  <c r="I22"/>
  <c r="I14"/>
  <c r="I6"/>
  <c r="I3"/>
  <c r="I15"/>
  <c r="I7"/>
  <c r="I18"/>
  <c r="I10"/>
  <c r="I20"/>
  <c r="I16"/>
  <c r="I12"/>
  <c r="I8"/>
  <c r="I4"/>
  <c r="I21"/>
  <c r="O21" s="1"/>
  <c r="I17"/>
  <c r="O17" s="1"/>
  <c r="I13"/>
  <c r="O13" s="1"/>
  <c r="I9"/>
  <c r="O9" s="1"/>
  <c r="AR5" l="1"/>
  <c r="AR21"/>
  <c r="AQ9"/>
  <c r="AQ10"/>
  <c r="AQ17"/>
  <c r="AO22"/>
  <c r="AM22"/>
  <c r="AO12"/>
  <c r="AM12"/>
  <c r="AO18"/>
  <c r="AM18"/>
  <c r="AO3"/>
  <c r="AQ3" s="1"/>
  <c r="AR3" s="1"/>
  <c r="AM3"/>
  <c r="AO14"/>
  <c r="AM14"/>
  <c r="AO11"/>
  <c r="AQ11" s="1"/>
  <c r="AR11" s="1"/>
  <c r="AM11"/>
  <c r="AO8"/>
  <c r="AM8"/>
  <c r="AO15"/>
  <c r="AQ15" s="1"/>
  <c r="AM15"/>
  <c r="AO6"/>
  <c r="AM6"/>
  <c r="AO19"/>
  <c r="AQ19" s="1"/>
  <c r="AR19" s="1"/>
  <c r="AM19"/>
  <c r="AO16"/>
  <c r="AM16"/>
  <c r="AO4"/>
  <c r="AQ4" s="1"/>
  <c r="AM4"/>
  <c r="AO20"/>
  <c r="AQ20" s="1"/>
  <c r="AM20"/>
  <c r="AO7"/>
  <c r="AQ7" s="1"/>
  <c r="AR7" s="1"/>
  <c r="AM7"/>
  <c r="AP14"/>
  <c r="AP4"/>
  <c r="AP12"/>
  <c r="AP3"/>
  <c r="AP22"/>
  <c r="AP6"/>
  <c r="AP16"/>
  <c r="AP11"/>
  <c r="AP15"/>
  <c r="AP8"/>
  <c r="AP18"/>
  <c r="AP19"/>
  <c r="V23"/>
  <c r="AC23"/>
  <c r="U23"/>
  <c r="AB23"/>
  <c r="Y23"/>
  <c r="AF23"/>
  <c r="AD23"/>
  <c r="X23"/>
  <c r="T23"/>
  <c r="AL22"/>
  <c r="AN22" s="1"/>
  <c r="AL17"/>
  <c r="AN17" s="1"/>
  <c r="AL12"/>
  <c r="AN12" s="1"/>
  <c r="AL11"/>
  <c r="AL6"/>
  <c r="AN6" s="1"/>
  <c r="Z23"/>
  <c r="AE23"/>
  <c r="AK23"/>
  <c r="AL18"/>
  <c r="AN18" s="1"/>
  <c r="AL13"/>
  <c r="AN13" s="1"/>
  <c r="AL8"/>
  <c r="AL7"/>
  <c r="AA23"/>
  <c r="AL4"/>
  <c r="AN4" s="1"/>
  <c r="R23"/>
  <c r="AL3"/>
  <c r="S23"/>
  <c r="AG23"/>
  <c r="AL20"/>
  <c r="AL19"/>
  <c r="AL14"/>
  <c r="AN14" s="1"/>
  <c r="AL9"/>
  <c r="AN9" s="1"/>
  <c r="W23"/>
  <c r="AL21"/>
  <c r="AN21" s="1"/>
  <c r="AL16"/>
  <c r="AN16" s="1"/>
  <c r="AL15"/>
  <c r="AN15" s="1"/>
  <c r="AL10"/>
  <c r="AN10" s="1"/>
  <c r="AL5"/>
  <c r="AN5" s="1"/>
  <c r="AH23"/>
  <c r="AJ23"/>
  <c r="AI23"/>
  <c r="O12"/>
  <c r="P12" s="1"/>
  <c r="O19"/>
  <c r="Q19" s="1"/>
  <c r="O8"/>
  <c r="P8" s="1"/>
  <c r="O3"/>
  <c r="P3" s="1"/>
  <c r="O4"/>
  <c r="Q4" s="1"/>
  <c r="O20"/>
  <c r="P20" s="1"/>
  <c r="O15"/>
  <c r="Q15" s="1"/>
  <c r="O16"/>
  <c r="Q16" s="1"/>
  <c r="O7"/>
  <c r="Q7" s="1"/>
  <c r="O10"/>
  <c r="P10" s="1"/>
  <c r="O11"/>
  <c r="Q11" s="1"/>
  <c r="P5"/>
  <c r="O22"/>
  <c r="Q22" s="1"/>
  <c r="N23"/>
  <c r="O14"/>
  <c r="P14" s="1"/>
  <c r="O18"/>
  <c r="P18" s="1"/>
  <c r="O6"/>
  <c r="Q9"/>
  <c r="P9"/>
  <c r="Q21"/>
  <c r="P21"/>
  <c r="Q17"/>
  <c r="P17"/>
  <c r="Q13"/>
  <c r="P13"/>
  <c r="I23"/>
  <c r="I24" s="1"/>
  <c r="AR4" l="1"/>
  <c r="AR23" s="1"/>
  <c r="AR15"/>
  <c r="AQ12"/>
  <c r="AR12" s="1"/>
  <c r="AN19"/>
  <c r="AN3"/>
  <c r="AN7"/>
  <c r="AN11"/>
  <c r="AR20"/>
  <c r="AQ16"/>
  <c r="AR16" s="1"/>
  <c r="AQ6"/>
  <c r="AR6" s="1"/>
  <c r="AQ8"/>
  <c r="AR8" s="1"/>
  <c r="AQ14"/>
  <c r="AR14" s="1"/>
  <c r="AQ18"/>
  <c r="AR18" s="1"/>
  <c r="AQ22"/>
  <c r="AR22" s="1"/>
  <c r="AR9"/>
  <c r="AR17"/>
  <c r="AR13"/>
  <c r="AR10"/>
  <c r="AN20"/>
  <c r="AN8"/>
  <c r="AL24"/>
  <c r="AO23"/>
  <c r="P19"/>
  <c r="Q12"/>
  <c r="Q18"/>
  <c r="P7"/>
  <c r="Q20"/>
  <c r="Q3"/>
  <c r="Q8"/>
  <c r="P16"/>
  <c r="P15"/>
  <c r="Q14"/>
  <c r="P4"/>
  <c r="P11"/>
  <c r="Q10"/>
  <c r="O23"/>
  <c r="P22"/>
  <c r="P6"/>
  <c r="Q6"/>
  <c r="Q23" l="1"/>
  <c r="P23"/>
</calcChain>
</file>

<file path=xl/comments1.xml><?xml version="1.0" encoding="utf-8"?>
<comments xmlns="http://schemas.openxmlformats.org/spreadsheetml/2006/main">
  <authors>
    <author>dell</author>
  </authors>
  <commentList>
    <comment ref="AN2" authorId="0">
      <text>
        <r>
          <rPr>
            <b/>
            <sz val="9"/>
            <color indexed="81"/>
            <rFont val="Tahoma"/>
            <charset val="1"/>
          </rPr>
          <t xml:space="preserve">à comparer avec la QP dans l héritage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R2" authorId="0">
      <text>
        <r>
          <rPr>
            <b/>
            <sz val="9"/>
            <color indexed="81"/>
            <rFont val="Tahoma"/>
            <charset val="1"/>
          </rPr>
          <t>à comparer avec le calcul initial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<sst xmlns="http://schemas.openxmlformats.org/spreadsheetml/2006/main" count="112" uniqueCount="90">
  <si>
    <t xml:space="preserve">Nom </t>
  </si>
  <si>
    <t>Prénom</t>
  </si>
  <si>
    <t>n°</t>
  </si>
  <si>
    <t>Adresse</t>
  </si>
  <si>
    <t>Ville</t>
  </si>
  <si>
    <t>Lien de parenté avec le défunt</t>
  </si>
  <si>
    <t>parts dans l'héritage</t>
  </si>
  <si>
    <t>a</t>
  </si>
  <si>
    <t>b</t>
  </si>
  <si>
    <t>c</t>
  </si>
  <si>
    <t>n° du bien</t>
  </si>
  <si>
    <t>Désignation</t>
  </si>
  <si>
    <t>Description</t>
  </si>
  <si>
    <t>Date acquisition</t>
  </si>
  <si>
    <t>Valeur acquisition</t>
  </si>
  <si>
    <t>Valeur actuelle</t>
  </si>
  <si>
    <t>Valeur total des biens à affecter</t>
  </si>
  <si>
    <t>QP dans les biens à partager</t>
  </si>
  <si>
    <t>totaux</t>
  </si>
  <si>
    <t>Nom du bien</t>
  </si>
  <si>
    <t xml:space="preserve"> </t>
  </si>
  <si>
    <t>Différence</t>
  </si>
  <si>
    <t xml:space="preserve">Soulte à verser </t>
  </si>
  <si>
    <t>Soultes à encaisser</t>
  </si>
  <si>
    <t>albert</t>
  </si>
  <si>
    <t>andré</t>
  </si>
  <si>
    <t>bernard</t>
  </si>
  <si>
    <t>clément</t>
  </si>
  <si>
    <t>david</t>
  </si>
  <si>
    <t>edouard</t>
  </si>
  <si>
    <t>françois</t>
  </si>
  <si>
    <t>Grégoire</t>
  </si>
  <si>
    <t>Henri</t>
  </si>
  <si>
    <t>Irène</t>
  </si>
  <si>
    <t>Jacques</t>
  </si>
  <si>
    <t>Karène</t>
  </si>
  <si>
    <t>Laurent</t>
  </si>
  <si>
    <t>Mariane</t>
  </si>
  <si>
    <t>Nelly</t>
  </si>
  <si>
    <t>Oscar</t>
  </si>
  <si>
    <t>Paul</t>
  </si>
  <si>
    <t>Robert</t>
  </si>
  <si>
    <t>Suzane</t>
  </si>
  <si>
    <t>Thierry</t>
  </si>
  <si>
    <t>CIN</t>
  </si>
  <si>
    <t>TF 777 77</t>
  </si>
  <si>
    <t>appartement 15</t>
  </si>
  <si>
    <t>TF 6666  66</t>
  </si>
  <si>
    <t>magasin daoura</t>
  </si>
  <si>
    <t>TF 8765 65</t>
  </si>
  <si>
    <t>terrain tit mellil</t>
  </si>
  <si>
    <t>TF  32123 33</t>
  </si>
  <si>
    <t>appartement 17</t>
  </si>
  <si>
    <t>TF 432111</t>
  </si>
  <si>
    <t>maison berrechid</t>
  </si>
  <si>
    <t xml:space="preserve">le forum www.maroc-compta.net </t>
  </si>
  <si>
    <t xml:space="preserve">En cas de besoin, posez vos questions sur </t>
  </si>
  <si>
    <t>B</t>
  </si>
  <si>
    <t>AAA</t>
  </si>
  <si>
    <t xml:space="preserve">Valeur de la part </t>
  </si>
  <si>
    <t xml:space="preserve">Valeur actuelle du bien </t>
  </si>
  <si>
    <t>QP dans le bien 1</t>
  </si>
  <si>
    <t>QP dans le bien 2</t>
  </si>
  <si>
    <t>QP dans le bien 3</t>
  </si>
  <si>
    <t>QP dans le bien 4</t>
  </si>
  <si>
    <t>QP dans le bien 5</t>
  </si>
  <si>
    <t>QP dans le bien 6</t>
  </si>
  <si>
    <t>QP dans le bien 7</t>
  </si>
  <si>
    <t>QP dans le bien 8</t>
  </si>
  <si>
    <t>QP dans le bien 9</t>
  </si>
  <si>
    <t>QP dans le bien 10</t>
  </si>
  <si>
    <t>QP dans le bien 11</t>
  </si>
  <si>
    <t>QP dans le bien 12</t>
  </si>
  <si>
    <t>QP dans le bien 13</t>
  </si>
  <si>
    <t>QP dans le bien 14</t>
  </si>
  <si>
    <t>QP dans le bien 15</t>
  </si>
  <si>
    <t>QP dans le bien 16</t>
  </si>
  <si>
    <t>QP dans le bien 17</t>
  </si>
  <si>
    <t>QP dans le bien 18</t>
  </si>
  <si>
    <t>QP dans le bien 19</t>
  </si>
  <si>
    <t>QP dans le bien 20</t>
  </si>
  <si>
    <t xml:space="preserve">QP dans le bien acquis </t>
  </si>
  <si>
    <t>Valeur actuelle du bien  ERR</t>
  </si>
  <si>
    <t xml:space="preserve">valeur du bien acquis </t>
  </si>
  <si>
    <t>QP dans le bien acquis</t>
  </si>
  <si>
    <t xml:space="preserve">Somme des  QP  dans les autres biens </t>
  </si>
  <si>
    <t xml:space="preserve">Sommes des QP dans tous les biens </t>
  </si>
  <si>
    <t>Soulte à payer pour le bien acquis</t>
  </si>
  <si>
    <t>Solde soulte à payer - soultes à encaisser</t>
  </si>
  <si>
    <t>à masquer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</si>
</sst>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4" fontId="4" fillId="6" borderId="3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0" fontId="0" fillId="7" borderId="0" xfId="0" applyFill="1" applyProtection="1">
      <protection locked="0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6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4" fontId="0" fillId="0" borderId="0" xfId="0" applyNumberFormat="1"/>
    <xf numFmtId="0" fontId="1" fillId="8" borderId="1" xfId="0" applyFont="1" applyFill="1" applyBorder="1" applyAlignment="1">
      <alignment horizontal="center" vertical="center" wrapText="1"/>
    </xf>
    <xf numFmtId="4" fontId="0" fillId="8" borderId="0" xfId="0" applyNumberFormat="1" applyFill="1"/>
    <xf numFmtId="4" fontId="3" fillId="8" borderId="0" xfId="0" applyNumberFormat="1" applyFont="1" applyFill="1"/>
    <xf numFmtId="4" fontId="6" fillId="2" borderId="0" xfId="0" applyNumberFormat="1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 wrapText="1"/>
    </xf>
    <xf numFmtId="4" fontId="0" fillId="9" borderId="0" xfId="0" applyNumberFormat="1" applyFill="1" applyBorder="1" applyAlignment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AR47"/>
  <sheetViews>
    <sheetView showZeros="0" tabSelected="1" zoomScale="120" zoomScaleNormal="120" workbookViewId="0">
      <pane xSplit="1" ySplit="2" topLeftCell="E3" activePane="bottomRight" state="frozen"/>
      <selection pane="topRight" activeCell="B1" sqref="B1"/>
      <selection pane="bottomLeft" activeCell="A2" sqref="A2"/>
      <selection pane="bottomRight" activeCell="M1" sqref="M1"/>
    </sheetView>
  </sheetViews>
  <sheetFormatPr baseColWidth="10" defaultRowHeight="15"/>
  <cols>
    <col min="1" max="1" width="3" style="2" bestFit="1" customWidth="1"/>
    <col min="4" max="4" width="8.7109375" customWidth="1"/>
    <col min="5" max="5" width="9.42578125" customWidth="1"/>
    <col min="6" max="6" width="21.85546875" customWidth="1"/>
    <col min="7" max="7" width="14" customWidth="1"/>
    <col min="8" max="8" width="11.42578125" style="2"/>
    <col min="9" max="9" width="21.5703125" style="2" customWidth="1"/>
    <col min="10" max="10" width="5.42578125" customWidth="1"/>
    <col min="11" max="11" width="5.5703125" style="2" customWidth="1"/>
    <col min="12" max="12" width="12.5703125" style="2" customWidth="1"/>
    <col min="13" max="13" width="6.5703125" bestFit="1" customWidth="1"/>
    <col min="14" max="14" width="19.85546875" customWidth="1"/>
    <col min="15" max="15" width="11.85546875" customWidth="1"/>
    <col min="16" max="16" width="12.5703125" bestFit="1" customWidth="1"/>
    <col min="17" max="17" width="14.42578125" bestFit="1" customWidth="1"/>
    <col min="38" max="38" width="10.7109375" customWidth="1"/>
    <col min="40" max="40" width="10.7109375" customWidth="1"/>
    <col min="41" max="41" width="13.42578125" customWidth="1"/>
    <col min="44" max="44" width="11.140625" customWidth="1"/>
  </cols>
  <sheetData>
    <row r="1" spans="1:44">
      <c r="K1" s="45" t="s">
        <v>89</v>
      </c>
      <c r="L1" s="2" t="s">
        <v>89</v>
      </c>
    </row>
    <row r="2" spans="1:44" s="1" customFormat="1" ht="48.75" customHeight="1">
      <c r="A2" s="5" t="s">
        <v>2</v>
      </c>
      <c r="B2" s="5" t="s">
        <v>0</v>
      </c>
      <c r="C2" s="5" t="s">
        <v>1</v>
      </c>
      <c r="D2" s="5" t="s">
        <v>44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17</v>
      </c>
      <c r="J2" s="5" t="s">
        <v>10</v>
      </c>
      <c r="K2" s="10" t="s">
        <v>19</v>
      </c>
      <c r="L2" s="10" t="s">
        <v>82</v>
      </c>
      <c r="M2" s="5" t="s">
        <v>19</v>
      </c>
      <c r="N2" s="5" t="s">
        <v>60</v>
      </c>
      <c r="O2" s="5" t="s">
        <v>21</v>
      </c>
      <c r="P2" s="5" t="s">
        <v>22</v>
      </c>
      <c r="Q2" s="5" t="s">
        <v>23</v>
      </c>
      <c r="R2" s="10" t="s">
        <v>61</v>
      </c>
      <c r="S2" s="10" t="s">
        <v>62</v>
      </c>
      <c r="T2" s="10" t="s">
        <v>63</v>
      </c>
      <c r="U2" s="10" t="s">
        <v>64</v>
      </c>
      <c r="V2" s="10" t="s">
        <v>65</v>
      </c>
      <c r="W2" s="10" t="s">
        <v>66</v>
      </c>
      <c r="X2" s="10" t="s">
        <v>67</v>
      </c>
      <c r="Y2" s="10" t="s">
        <v>68</v>
      </c>
      <c r="Z2" s="10" t="s">
        <v>69</v>
      </c>
      <c r="AA2" s="10" t="s">
        <v>70</v>
      </c>
      <c r="AB2" s="10" t="s">
        <v>71</v>
      </c>
      <c r="AC2" s="10" t="s">
        <v>72</v>
      </c>
      <c r="AD2" s="10" t="s">
        <v>73</v>
      </c>
      <c r="AE2" s="10" t="s">
        <v>74</v>
      </c>
      <c r="AF2" s="10" t="s">
        <v>75</v>
      </c>
      <c r="AG2" s="10" t="s">
        <v>76</v>
      </c>
      <c r="AH2" s="10" t="s">
        <v>77</v>
      </c>
      <c r="AI2" s="10" t="s">
        <v>78</v>
      </c>
      <c r="AJ2" s="10" t="s">
        <v>79</v>
      </c>
      <c r="AK2" s="10" t="s">
        <v>80</v>
      </c>
      <c r="AL2" s="32" t="s">
        <v>85</v>
      </c>
      <c r="AM2" s="36" t="s">
        <v>84</v>
      </c>
      <c r="AN2" s="32" t="s">
        <v>86</v>
      </c>
      <c r="AO2" s="10" t="s">
        <v>83</v>
      </c>
      <c r="AP2" s="10" t="s">
        <v>81</v>
      </c>
      <c r="AQ2" s="10" t="s">
        <v>87</v>
      </c>
      <c r="AR2" s="10" t="s">
        <v>88</v>
      </c>
    </row>
    <row r="3" spans="1:44" ht="15" customHeight="1">
      <c r="A3" s="38">
        <v>1</v>
      </c>
      <c r="B3" s="39" t="s">
        <v>7</v>
      </c>
      <c r="C3" s="39" t="s">
        <v>24</v>
      </c>
      <c r="D3" s="39"/>
      <c r="E3" s="39"/>
      <c r="F3" s="39"/>
      <c r="G3" s="39"/>
      <c r="H3" s="40">
        <v>5</v>
      </c>
      <c r="I3" s="41">
        <f t="shared" ref="I3:I22" si="0">Tvaleurs *H3/Tparts</f>
        <v>247500</v>
      </c>
      <c r="J3" s="40">
        <v>1</v>
      </c>
      <c r="K3" s="42" t="str">
        <f t="shared" ref="K3:K22" si="1">VLOOKUP(J3,Biens,2,FALSE)</f>
        <v>TF 777 77</v>
      </c>
      <c r="L3" s="42">
        <f t="shared" ref="L3:L22" si="2">VLOOKUP(J3,Biens,6,FALSE)</f>
        <v>200000</v>
      </c>
      <c r="M3" s="43" t="str">
        <f>IF(ISNUMBER(L3),K3, "")</f>
        <v>TF 777 77</v>
      </c>
      <c r="N3" s="41">
        <f>IF(ISNUMBER(L3),L3, 0)</f>
        <v>200000</v>
      </c>
      <c r="O3" s="44">
        <f>I3-N3</f>
        <v>47500</v>
      </c>
      <c r="P3" s="44">
        <f>MAX(0, - O3)</f>
        <v>0</v>
      </c>
      <c r="Q3" s="44">
        <f>MAX(0, O3)</f>
        <v>47500</v>
      </c>
      <c r="R3" s="41">
        <f>IF(J3 = 1, 0, $F$27*$H3/Tparts)</f>
        <v>0</v>
      </c>
      <c r="S3" s="41">
        <f>IF(J3 = 2, 0, $F$28*$H3/Tparts)</f>
        <v>12500</v>
      </c>
      <c r="T3" s="41">
        <f>IF(J3 = 3, 0, $F$29*$H3/Tparts)</f>
        <v>12500</v>
      </c>
      <c r="U3" s="41">
        <f>IF(J3 = 4, 0, $F$30*$H3/Tparts)</f>
        <v>12500</v>
      </c>
      <c r="V3" s="41">
        <f>IF(J3 = 5, 0, $F$31*$H3/Tparts)</f>
        <v>12500</v>
      </c>
      <c r="W3" s="41">
        <f>IF(J3 = 6, 0, $F$32*$H3/Tparts)</f>
        <v>12500</v>
      </c>
      <c r="X3" s="41">
        <f>IF(J3 = 7, 0, $F$33*$H3/Tparts)</f>
        <v>12500</v>
      </c>
      <c r="Y3" s="41">
        <f>IF(J3 = 8, 0, $F$34*$H3/Tparts)</f>
        <v>12500</v>
      </c>
      <c r="Z3" s="41">
        <f>IF(J3 = 9, 0, $F$35*$H3/Tparts)</f>
        <v>12500</v>
      </c>
      <c r="AA3" s="41">
        <f>IF(J3 = 10, 0, $F$36*$H3/Tparts)</f>
        <v>12500</v>
      </c>
      <c r="AB3" s="41">
        <f>IF(J3 = 11, 0, $F$37*$H3/Tparts)</f>
        <v>12500</v>
      </c>
      <c r="AC3" s="41">
        <f>IF(J3 = 12, 0, $F$38*$H3/Tparts)</f>
        <v>12500</v>
      </c>
      <c r="AD3" s="41">
        <f>IF(J3 = 13, 0, $F$39*$H3/Tparts)</f>
        <v>12500</v>
      </c>
      <c r="AE3" s="41">
        <f>IF(J3 = 14, 0, $F$40*$H3/Tparts)</f>
        <v>12500</v>
      </c>
      <c r="AF3" s="41">
        <f>IF(J3 = 15, 0, $F$41*$H3/Tparts)</f>
        <v>12500</v>
      </c>
      <c r="AG3" s="41">
        <f>IF(J3 = 16, 0, $F$42*$H3/Tparts)</f>
        <v>12500</v>
      </c>
      <c r="AH3" s="41">
        <f>IF(J3 = 17, 0, $F$43*$H3/Tparts)</f>
        <v>12500</v>
      </c>
      <c r="AI3" s="41">
        <f>IF(J3 = 18, 0, $F$44*$H3/Tparts)</f>
        <v>12500</v>
      </c>
      <c r="AJ3" s="41">
        <f>IF(J3 = 19, 0, $F$45*$H3/Tparts)</f>
        <v>12500</v>
      </c>
      <c r="AK3" s="41">
        <f>IF(J3 = 20, 0, $F$46*$H3/Tparts)</f>
        <v>12500</v>
      </c>
      <c r="AL3" s="33">
        <f>SUM(R3:AK3)</f>
        <v>237500</v>
      </c>
      <c r="AM3" s="37">
        <f>N3*H3/H$23</f>
        <v>10000</v>
      </c>
      <c r="AN3" s="33">
        <f>AM3+AL3</f>
        <v>247500</v>
      </c>
      <c r="AO3" s="31">
        <f>N3</f>
        <v>200000</v>
      </c>
      <c r="AP3" s="31">
        <f>N3*H3/H$23</f>
        <v>10000</v>
      </c>
      <c r="AQ3" s="31">
        <f>AO3-AP3</f>
        <v>190000</v>
      </c>
      <c r="AR3" s="31">
        <f>AQ3-AL3</f>
        <v>-47500</v>
      </c>
    </row>
    <row r="4" spans="1:44" ht="15" customHeight="1">
      <c r="A4" s="16">
        <v>2</v>
      </c>
      <c r="B4" s="14" t="s">
        <v>8</v>
      </c>
      <c r="C4" s="14" t="s">
        <v>25</v>
      </c>
      <c r="D4" s="14"/>
      <c r="E4" s="14"/>
      <c r="F4" s="14"/>
      <c r="G4" s="14"/>
      <c r="H4" s="13">
        <v>5</v>
      </c>
      <c r="I4" s="11">
        <f t="shared" si="0"/>
        <v>247500</v>
      </c>
      <c r="J4" s="13">
        <v>2</v>
      </c>
      <c r="K4" s="3" t="str">
        <f t="shared" si="1"/>
        <v>TF 6666  66</v>
      </c>
      <c r="L4" s="3">
        <f t="shared" si="2"/>
        <v>250000</v>
      </c>
      <c r="M4" s="4" t="str">
        <f t="shared" ref="M4:M22" si="3">IF(ISNUMBER(L4),K4, "")</f>
        <v>TF 6666  66</v>
      </c>
      <c r="N4" s="11">
        <f t="shared" ref="N4:N22" si="4">IF(ISNUMBER(L4),L4, 0)</f>
        <v>250000</v>
      </c>
      <c r="O4" s="12">
        <f t="shared" ref="O4:O22" si="5">I4-N4</f>
        <v>-2500</v>
      </c>
      <c r="P4" s="12">
        <f t="shared" ref="P4:P22" si="6">MAX(0, - O4)</f>
        <v>2500</v>
      </c>
      <c r="Q4" s="12">
        <f t="shared" ref="Q4:Q22" si="7">MAX(0, O4)</f>
        <v>0</v>
      </c>
      <c r="R4" s="11">
        <f>IF(J4 = 1, 0, $F$27*$H4/Tparts)</f>
        <v>10000</v>
      </c>
      <c r="S4" s="11">
        <f>IF(J4 = 2, 0, $F$28*$H4/Tparts)</f>
        <v>0</v>
      </c>
      <c r="T4" s="11">
        <f>IF(J4 = 3, 0, $F$29*$H4/Tparts)</f>
        <v>12500</v>
      </c>
      <c r="U4" s="11">
        <f>IF(J4 = 4, 0, $F$30*$H4/Tparts)</f>
        <v>12500</v>
      </c>
      <c r="V4" s="11">
        <f>IF(J4 = 5, 0, $F$31*$H4/Tparts)</f>
        <v>12500</v>
      </c>
      <c r="W4" s="11">
        <f>IF(J4 = 6, 0, $F$32*$H4/Tparts)</f>
        <v>12500</v>
      </c>
      <c r="X4" s="11">
        <f>IF(J4 = 7, 0, $F$33*$H4/Tparts)</f>
        <v>12500</v>
      </c>
      <c r="Y4" s="11">
        <f>IF(J4 = 8, 0, $F$34*$H4/Tparts)</f>
        <v>12500</v>
      </c>
      <c r="Z4" s="11">
        <f>IF(J4 = 9, 0, $F$35*$H4/Tparts)</f>
        <v>12500</v>
      </c>
      <c r="AA4" s="11">
        <f>IF(J4 = 10, 0, $F$36*$H4/Tparts)</f>
        <v>12500</v>
      </c>
      <c r="AB4" s="11">
        <f>IF(J4 = 11, 0, $F$37*$H4/Tparts)</f>
        <v>12500</v>
      </c>
      <c r="AC4" s="11">
        <f>IF(J4 = 12, 0, $F$38*$H4/Tparts)</f>
        <v>12500</v>
      </c>
      <c r="AD4" s="11">
        <f>IF(J4 = 13, 0, $F$39*$H4/Tparts)</f>
        <v>12500</v>
      </c>
      <c r="AE4" s="11">
        <f>IF(J4 = 14, 0, $F$40*$H4/Tparts)</f>
        <v>12500</v>
      </c>
      <c r="AF4" s="11">
        <f>IF(J4 = 15, 0, $F$41*$H4/Tparts)</f>
        <v>12500</v>
      </c>
      <c r="AG4" s="11">
        <f>IF(J4 = 16, 0, $F$42*$H4/Tparts)</f>
        <v>12500</v>
      </c>
      <c r="AH4" s="11">
        <f>IF(J4 = 17, 0, $F$43*$H4/Tparts)</f>
        <v>12500</v>
      </c>
      <c r="AI4" s="11">
        <f>IF(J4 = 18, 0, $F$44*$H4/Tparts)</f>
        <v>12500</v>
      </c>
      <c r="AJ4" s="11">
        <f>IF(J4 = 19, 0, $F$45*$H4/Tparts)</f>
        <v>12500</v>
      </c>
      <c r="AK4" s="11">
        <f>IF(J4 = 20, 0, $F$46*$H4/Tparts)</f>
        <v>12500</v>
      </c>
      <c r="AL4" s="33">
        <f t="shared" ref="AL4:AL23" si="8">SUM(R4:AK4)</f>
        <v>235000</v>
      </c>
      <c r="AM4" s="37">
        <f>N4*H4/H$23</f>
        <v>12500</v>
      </c>
      <c r="AN4" s="33">
        <f>AM4+AL4</f>
        <v>247500</v>
      </c>
      <c r="AO4" s="31">
        <f t="shared" ref="AO4:AO22" si="9">N4</f>
        <v>250000</v>
      </c>
      <c r="AP4" s="31">
        <f t="shared" ref="AP4:AP22" si="10">N4*H4/H$23</f>
        <v>12500</v>
      </c>
      <c r="AQ4" s="31">
        <f t="shared" ref="AQ4:AQ22" si="11">AO4-AP4</f>
        <v>237500</v>
      </c>
      <c r="AR4" s="31">
        <f t="shared" ref="AR4:AR22" si="12">AQ4-AL4</f>
        <v>2500</v>
      </c>
    </row>
    <row r="5" spans="1:44" ht="15" customHeight="1">
      <c r="A5" s="16">
        <v>3</v>
      </c>
      <c r="B5" s="14" t="s">
        <v>57</v>
      </c>
      <c r="C5" s="14" t="s">
        <v>26</v>
      </c>
      <c r="D5" s="14"/>
      <c r="E5" s="14"/>
      <c r="F5" s="14"/>
      <c r="G5" s="14"/>
      <c r="H5" s="13">
        <v>5</v>
      </c>
      <c r="I5" s="11">
        <f t="shared" si="0"/>
        <v>247500</v>
      </c>
      <c r="J5" s="13">
        <v>3</v>
      </c>
      <c r="K5" s="3" t="str">
        <f t="shared" si="1"/>
        <v>TF 8765 65</v>
      </c>
      <c r="L5" s="3">
        <f t="shared" si="2"/>
        <v>250000</v>
      </c>
      <c r="M5" s="4" t="str">
        <f t="shared" si="3"/>
        <v>TF 8765 65</v>
      </c>
      <c r="N5" s="11">
        <f t="shared" si="4"/>
        <v>250000</v>
      </c>
      <c r="O5" s="12">
        <f t="shared" si="5"/>
        <v>-2500</v>
      </c>
      <c r="P5" s="12">
        <f t="shared" si="6"/>
        <v>2500</v>
      </c>
      <c r="Q5" s="12">
        <f t="shared" si="7"/>
        <v>0</v>
      </c>
      <c r="R5" s="11">
        <f>IF(J5 = 1, 0, $F$27*$H5/Tparts)</f>
        <v>10000</v>
      </c>
      <c r="S5" s="11">
        <f>IF(J5 = 2, 0, $F$28*$H5/Tparts)</f>
        <v>12500</v>
      </c>
      <c r="T5" s="11">
        <f>IF(J5 = 3, 0, $F$29*$H5/Tparts)</f>
        <v>0</v>
      </c>
      <c r="U5" s="11">
        <f>IF(J5 = 4, 0, $F$30*$H5/Tparts)</f>
        <v>12500</v>
      </c>
      <c r="V5" s="11">
        <f>IF(J5 = 5, 0, $F$31*$H5/Tparts)</f>
        <v>12500</v>
      </c>
      <c r="W5" s="11">
        <f>IF(J5 = 6, 0, $F$32*$H5/Tparts)</f>
        <v>12500</v>
      </c>
      <c r="X5" s="11">
        <f>IF(J5 = 7, 0, $F$33*$H5/Tparts)</f>
        <v>12500</v>
      </c>
      <c r="Y5" s="11">
        <f>IF(J5 = 8, 0, $F$34*$H5/Tparts)</f>
        <v>12500</v>
      </c>
      <c r="Z5" s="11">
        <f>IF(J5 = 9, 0, $F$35*$H5/Tparts)</f>
        <v>12500</v>
      </c>
      <c r="AA5" s="11">
        <f>IF(J5 = 10, 0, $F$36*$H5/Tparts)</f>
        <v>12500</v>
      </c>
      <c r="AB5" s="11">
        <f>IF(J5 = 11, 0, $F$37*$H5/Tparts)</f>
        <v>12500</v>
      </c>
      <c r="AC5" s="11">
        <f>IF(J5 = 12, 0, $F$38*$H5/Tparts)</f>
        <v>12500</v>
      </c>
      <c r="AD5" s="11">
        <f>IF(J5 = 13, 0, $F$39*$H5/Tparts)</f>
        <v>12500</v>
      </c>
      <c r="AE5" s="11">
        <f>IF(J5 = 14, 0, $F$40*$H5/Tparts)</f>
        <v>12500</v>
      </c>
      <c r="AF5" s="11">
        <f>IF(J5 = 15, 0, $F$41*$H5/Tparts)</f>
        <v>12500</v>
      </c>
      <c r="AG5" s="11">
        <f>IF(J5 = 16, 0, $F$42*$H5/Tparts)</f>
        <v>12500</v>
      </c>
      <c r="AH5" s="11">
        <f>IF(J5 = 17, 0, $F$43*$H5/Tparts)</f>
        <v>12500</v>
      </c>
      <c r="AI5" s="11">
        <f>IF(J5 = 18, 0, $F$44*$H5/Tparts)</f>
        <v>12500</v>
      </c>
      <c r="AJ5" s="11">
        <f>IF(J5 = 19, 0, $F$45*$H5/Tparts)</f>
        <v>12500</v>
      </c>
      <c r="AK5" s="11">
        <f>IF(J5 = 20, 0, $F$46*$H5/Tparts)</f>
        <v>12500</v>
      </c>
      <c r="AL5" s="33">
        <f t="shared" si="8"/>
        <v>235000</v>
      </c>
      <c r="AM5" s="37">
        <f>N5*H5/H$23</f>
        <v>12500</v>
      </c>
      <c r="AN5" s="33">
        <f>AM5+AL5</f>
        <v>247500</v>
      </c>
      <c r="AO5" s="31">
        <f t="shared" si="9"/>
        <v>250000</v>
      </c>
      <c r="AP5" s="31">
        <f t="shared" si="10"/>
        <v>12500</v>
      </c>
      <c r="AQ5" s="31">
        <f t="shared" si="11"/>
        <v>237500</v>
      </c>
      <c r="AR5" s="31">
        <f t="shared" si="12"/>
        <v>2500</v>
      </c>
    </row>
    <row r="6" spans="1:44" ht="15" customHeight="1">
      <c r="A6" s="16">
        <v>4</v>
      </c>
      <c r="B6" s="14" t="s">
        <v>7</v>
      </c>
      <c r="C6" s="14" t="s">
        <v>27</v>
      </c>
      <c r="D6" s="14"/>
      <c r="E6" s="14"/>
      <c r="F6" s="14"/>
      <c r="G6" s="14"/>
      <c r="H6" s="13">
        <v>5</v>
      </c>
      <c r="I6" s="11">
        <f t="shared" si="0"/>
        <v>247500</v>
      </c>
      <c r="J6" s="13">
        <v>4</v>
      </c>
      <c r="K6" s="3" t="str">
        <f t="shared" si="1"/>
        <v>TF  32123 33</v>
      </c>
      <c r="L6" s="3">
        <f t="shared" si="2"/>
        <v>250000</v>
      </c>
      <c r="M6" s="4" t="str">
        <f t="shared" si="3"/>
        <v>TF  32123 33</v>
      </c>
      <c r="N6" s="11">
        <f t="shared" si="4"/>
        <v>250000</v>
      </c>
      <c r="O6" s="12">
        <f t="shared" si="5"/>
        <v>-2500</v>
      </c>
      <c r="P6" s="12">
        <f t="shared" si="6"/>
        <v>2500</v>
      </c>
      <c r="Q6" s="12">
        <f t="shared" si="7"/>
        <v>0</v>
      </c>
      <c r="R6" s="11">
        <f>IF(J6 = 1, 0, $F$27*$H6/Tparts)</f>
        <v>10000</v>
      </c>
      <c r="S6" s="11">
        <f>IF(J6 = 2, 0, $F$28*$H6/Tparts)</f>
        <v>12500</v>
      </c>
      <c r="T6" s="11">
        <f>IF(J6 = 3, 0, $F$29*$H6/Tparts)</f>
        <v>12500</v>
      </c>
      <c r="U6" s="11">
        <f>IF(J6 = 4, 0, $F$30*$H6/Tparts)</f>
        <v>0</v>
      </c>
      <c r="V6" s="11">
        <f>IF(J6 = 5, 0, $F$31*$H6/Tparts)</f>
        <v>12500</v>
      </c>
      <c r="W6" s="11">
        <f>IF(J6 = 6, 0, $F$32*$H6/Tparts)</f>
        <v>12500</v>
      </c>
      <c r="X6" s="11">
        <f>IF(J6 = 7, 0, $F$33*$H6/Tparts)</f>
        <v>12500</v>
      </c>
      <c r="Y6" s="11">
        <f>IF(J6 = 8, 0, $F$34*$H6/Tparts)</f>
        <v>12500</v>
      </c>
      <c r="Z6" s="11">
        <f>IF(J6 = 9, 0, $F$35*$H6/Tparts)</f>
        <v>12500</v>
      </c>
      <c r="AA6" s="11">
        <f>IF(J6 = 10, 0, $F$36*$H6/Tparts)</f>
        <v>12500</v>
      </c>
      <c r="AB6" s="11">
        <f>IF(J6 = 11, 0, $F$37*$H6/Tparts)</f>
        <v>12500</v>
      </c>
      <c r="AC6" s="11">
        <f>IF(J6 = 12, 0, $F$38*$H6/Tparts)</f>
        <v>12500</v>
      </c>
      <c r="AD6" s="11">
        <f>IF(J6 = 13, 0, $F$39*$H6/Tparts)</f>
        <v>12500</v>
      </c>
      <c r="AE6" s="11">
        <f>IF(J6 = 14, 0, $F$40*$H6/Tparts)</f>
        <v>12500</v>
      </c>
      <c r="AF6" s="11">
        <f>IF(J6 = 15, 0, $F$41*$H6/Tparts)</f>
        <v>12500</v>
      </c>
      <c r="AG6" s="11">
        <f>IF(J6 = 16, 0, $F$42*$H6/Tparts)</f>
        <v>12500</v>
      </c>
      <c r="AH6" s="11">
        <f>IF(J6 = 17, 0, $F$43*$H6/Tparts)</f>
        <v>12500</v>
      </c>
      <c r="AI6" s="11">
        <f>IF(J6 = 18, 0, $F$44*$H6/Tparts)</f>
        <v>12500</v>
      </c>
      <c r="AJ6" s="11">
        <f>IF(J6 = 19, 0, $F$45*$H6/Tparts)</f>
        <v>12500</v>
      </c>
      <c r="AK6" s="11">
        <f>IF(J6 = 20, 0, $F$46*$H6/Tparts)</f>
        <v>12500</v>
      </c>
      <c r="AL6" s="33">
        <f t="shared" si="8"/>
        <v>235000</v>
      </c>
      <c r="AM6" s="37">
        <f>N6*H6/H$23</f>
        <v>12500</v>
      </c>
      <c r="AN6" s="33">
        <f>AM6+AL6</f>
        <v>247500</v>
      </c>
      <c r="AO6" s="31">
        <f t="shared" si="9"/>
        <v>250000</v>
      </c>
      <c r="AP6" s="31">
        <f t="shared" si="10"/>
        <v>12500</v>
      </c>
      <c r="AQ6" s="31">
        <f t="shared" si="11"/>
        <v>237500</v>
      </c>
      <c r="AR6" s="31">
        <f t="shared" si="12"/>
        <v>2500</v>
      </c>
    </row>
    <row r="7" spans="1:44" ht="15" customHeight="1">
      <c r="A7" s="16">
        <v>5</v>
      </c>
      <c r="B7" s="14" t="s">
        <v>8</v>
      </c>
      <c r="C7" s="14" t="s">
        <v>28</v>
      </c>
      <c r="D7" s="14"/>
      <c r="E7" s="14"/>
      <c r="F7" s="14"/>
      <c r="G7" s="14"/>
      <c r="H7" s="13">
        <v>5</v>
      </c>
      <c r="I7" s="11">
        <f t="shared" si="0"/>
        <v>247500</v>
      </c>
      <c r="J7" s="13">
        <v>5</v>
      </c>
      <c r="K7" s="3" t="str">
        <f t="shared" si="1"/>
        <v>TF 432111</v>
      </c>
      <c r="L7" s="3">
        <f t="shared" si="2"/>
        <v>250000</v>
      </c>
      <c r="M7" s="4" t="str">
        <f t="shared" si="3"/>
        <v>TF 432111</v>
      </c>
      <c r="N7" s="11">
        <f t="shared" si="4"/>
        <v>250000</v>
      </c>
      <c r="O7" s="12">
        <f t="shared" si="5"/>
        <v>-2500</v>
      </c>
      <c r="P7" s="12">
        <f t="shared" si="6"/>
        <v>2500</v>
      </c>
      <c r="Q7" s="12">
        <f t="shared" si="7"/>
        <v>0</v>
      </c>
      <c r="R7" s="11">
        <f>IF(J7 = 1, 0, $F$27*$H7/Tparts)</f>
        <v>10000</v>
      </c>
      <c r="S7" s="11">
        <f>IF(J7 = 2, 0, $F$28*$H7/Tparts)</f>
        <v>12500</v>
      </c>
      <c r="T7" s="11">
        <f>IF(J7 = 3, 0, $F$29*$H7/Tparts)</f>
        <v>12500</v>
      </c>
      <c r="U7" s="11">
        <f>IF(J7 = 4, 0, $F$30*$H7/Tparts)</f>
        <v>12500</v>
      </c>
      <c r="V7" s="11">
        <f>IF(J7 = 5, 0, $F$31*$H7/Tparts)</f>
        <v>0</v>
      </c>
      <c r="W7" s="11">
        <f>IF(J7 = 6, 0, $F$32*$H7/Tparts)</f>
        <v>12500</v>
      </c>
      <c r="X7" s="11">
        <f>IF(J7 = 7, 0, $F$33*$H7/Tparts)</f>
        <v>12500</v>
      </c>
      <c r="Y7" s="11">
        <f>IF(J7 = 8, 0, $F$34*$H7/Tparts)</f>
        <v>12500</v>
      </c>
      <c r="Z7" s="11">
        <f>IF(J7 = 9, 0, $F$35*$H7/Tparts)</f>
        <v>12500</v>
      </c>
      <c r="AA7" s="11">
        <f>IF(J7 = 10, 0, $F$36*$H7/Tparts)</f>
        <v>12500</v>
      </c>
      <c r="AB7" s="11">
        <f>IF(J7 = 11, 0, $F$37*$H7/Tparts)</f>
        <v>12500</v>
      </c>
      <c r="AC7" s="11">
        <f>IF(J7 = 12, 0, $F$38*$H7/Tparts)</f>
        <v>12500</v>
      </c>
      <c r="AD7" s="11">
        <f>IF(J7 = 13, 0, $F$39*$H7/Tparts)</f>
        <v>12500</v>
      </c>
      <c r="AE7" s="11">
        <f>IF(J7 = 14, 0, $F$40*$H7/Tparts)</f>
        <v>12500</v>
      </c>
      <c r="AF7" s="11">
        <f>IF(J7 = 15, 0, $F$41*$H7/Tparts)</f>
        <v>12500</v>
      </c>
      <c r="AG7" s="11">
        <f>IF(J7 = 16, 0, $F$42*$H7/Tparts)</f>
        <v>12500</v>
      </c>
      <c r="AH7" s="11">
        <f>IF(J7 = 17, 0, $F$43*$H7/Tparts)</f>
        <v>12500</v>
      </c>
      <c r="AI7" s="11">
        <f>IF(J7 = 18, 0, $F$44*$H7/Tparts)</f>
        <v>12500</v>
      </c>
      <c r="AJ7" s="11">
        <f>IF(J7 = 19, 0, $F$45*$H7/Tparts)</f>
        <v>12500</v>
      </c>
      <c r="AK7" s="11">
        <f>IF(J7 = 20, 0, $F$46*$H7/Tparts)</f>
        <v>12500</v>
      </c>
      <c r="AL7" s="33">
        <f t="shared" si="8"/>
        <v>235000</v>
      </c>
      <c r="AM7" s="37">
        <f>N7*H7/H$23</f>
        <v>12500</v>
      </c>
      <c r="AN7" s="33">
        <f>AM7+AL7</f>
        <v>247500</v>
      </c>
      <c r="AO7" s="31">
        <f t="shared" si="9"/>
        <v>250000</v>
      </c>
      <c r="AP7" s="31">
        <f t="shared" si="10"/>
        <v>12500</v>
      </c>
      <c r="AQ7" s="31">
        <f t="shared" si="11"/>
        <v>237500</v>
      </c>
      <c r="AR7" s="31">
        <f t="shared" si="12"/>
        <v>2500</v>
      </c>
    </row>
    <row r="8" spans="1:44" ht="15" customHeight="1">
      <c r="A8" s="16">
        <v>6</v>
      </c>
      <c r="B8" s="14" t="s">
        <v>9</v>
      </c>
      <c r="C8" s="14" t="s">
        <v>29</v>
      </c>
      <c r="D8" s="14"/>
      <c r="E8" s="14"/>
      <c r="F8" s="14"/>
      <c r="G8" s="14"/>
      <c r="H8" s="13">
        <v>5</v>
      </c>
      <c r="I8" s="11">
        <f t="shared" si="0"/>
        <v>247500</v>
      </c>
      <c r="J8" s="13">
        <v>6</v>
      </c>
      <c r="K8" s="3">
        <f t="shared" si="1"/>
        <v>55</v>
      </c>
      <c r="L8" s="3">
        <f t="shared" si="2"/>
        <v>250000</v>
      </c>
      <c r="M8" s="4">
        <f t="shared" si="3"/>
        <v>55</v>
      </c>
      <c r="N8" s="11">
        <f t="shared" si="4"/>
        <v>250000</v>
      </c>
      <c r="O8" s="12">
        <f t="shared" si="5"/>
        <v>-2500</v>
      </c>
      <c r="P8" s="12">
        <f t="shared" si="6"/>
        <v>2500</v>
      </c>
      <c r="Q8" s="12">
        <f t="shared" si="7"/>
        <v>0</v>
      </c>
      <c r="R8" s="11">
        <f>IF(J8 = 1, 0, $F$27*$H8/Tparts)</f>
        <v>10000</v>
      </c>
      <c r="S8" s="11">
        <f>IF(J8 = 2, 0, $F$28*$H8/Tparts)</f>
        <v>12500</v>
      </c>
      <c r="T8" s="11">
        <f>IF(J8 = 3, 0, $F$29*$H8/Tparts)</f>
        <v>12500</v>
      </c>
      <c r="U8" s="11">
        <f>IF(J8 = 4, 0, $F$30*$H8/Tparts)</f>
        <v>12500</v>
      </c>
      <c r="V8" s="11">
        <f>IF(J8 = 5, 0, $F$31*$H8/Tparts)</f>
        <v>12500</v>
      </c>
      <c r="W8" s="11">
        <f>IF(J8 = 6, 0, $F$32*$H8/Tparts)</f>
        <v>0</v>
      </c>
      <c r="X8" s="11">
        <f>IF(J8 = 7, 0, $F$33*$H8/Tparts)</f>
        <v>12500</v>
      </c>
      <c r="Y8" s="11">
        <f>IF(J8 = 8, 0, $F$34*$H8/Tparts)</f>
        <v>12500</v>
      </c>
      <c r="Z8" s="11">
        <f>IF(J8 = 9, 0, $F$35*$H8/Tparts)</f>
        <v>12500</v>
      </c>
      <c r="AA8" s="11">
        <f>IF(J8 = 10, 0, $F$36*$H8/Tparts)</f>
        <v>12500</v>
      </c>
      <c r="AB8" s="11">
        <f>IF(J8 = 11, 0, $F$37*$H8/Tparts)</f>
        <v>12500</v>
      </c>
      <c r="AC8" s="11">
        <f>IF(J8 = 12, 0, $F$38*$H8/Tparts)</f>
        <v>12500</v>
      </c>
      <c r="AD8" s="11">
        <f>IF(J8 = 13, 0, $F$39*$H8/Tparts)</f>
        <v>12500</v>
      </c>
      <c r="AE8" s="11">
        <f>IF(J8 = 14, 0, $F$40*$H8/Tparts)</f>
        <v>12500</v>
      </c>
      <c r="AF8" s="11">
        <f>IF(J8 = 15, 0, $F$41*$H8/Tparts)</f>
        <v>12500</v>
      </c>
      <c r="AG8" s="11">
        <f>IF(J8 = 16, 0, $F$42*$H8/Tparts)</f>
        <v>12500</v>
      </c>
      <c r="AH8" s="11">
        <f>IF(J8 = 17, 0, $F$43*$H8/Tparts)</f>
        <v>12500</v>
      </c>
      <c r="AI8" s="11">
        <f>IF(J8 = 18, 0, $F$44*$H8/Tparts)</f>
        <v>12500</v>
      </c>
      <c r="AJ8" s="11">
        <f>IF(J8 = 19, 0, $F$45*$H8/Tparts)</f>
        <v>12500</v>
      </c>
      <c r="AK8" s="11">
        <f>IF(J8 = 20, 0, $F$46*$H8/Tparts)</f>
        <v>12500</v>
      </c>
      <c r="AL8" s="33">
        <f t="shared" si="8"/>
        <v>235000</v>
      </c>
      <c r="AM8" s="37">
        <f>N8*H8/H$23</f>
        <v>12500</v>
      </c>
      <c r="AN8" s="33">
        <f>AM8+AL8</f>
        <v>247500</v>
      </c>
      <c r="AO8" s="31">
        <f t="shared" si="9"/>
        <v>250000</v>
      </c>
      <c r="AP8" s="31">
        <f t="shared" si="10"/>
        <v>12500</v>
      </c>
      <c r="AQ8" s="31">
        <f t="shared" si="11"/>
        <v>237500</v>
      </c>
      <c r="AR8" s="31">
        <f t="shared" si="12"/>
        <v>2500</v>
      </c>
    </row>
    <row r="9" spans="1:44" ht="15" customHeight="1">
      <c r="A9" s="16">
        <v>7</v>
      </c>
      <c r="B9" s="14" t="s">
        <v>7</v>
      </c>
      <c r="C9" s="14" t="s">
        <v>30</v>
      </c>
      <c r="D9" s="14"/>
      <c r="E9" s="14"/>
      <c r="F9" s="14"/>
      <c r="G9" s="14"/>
      <c r="H9" s="13">
        <v>5</v>
      </c>
      <c r="I9" s="11">
        <f t="shared" si="0"/>
        <v>247500</v>
      </c>
      <c r="J9" s="13">
        <v>7</v>
      </c>
      <c r="K9" s="3">
        <f t="shared" ref="K9:K10" si="13">VLOOKUP(J9,Biens,2,FALSE)</f>
        <v>56</v>
      </c>
      <c r="L9" s="3">
        <f t="shared" ref="L9:L10" si="14">VLOOKUP(J9,Biens,6,FALSE)</f>
        <v>250000</v>
      </c>
      <c r="M9" s="4">
        <f t="shared" ref="M9:M10" si="15">IF(ISNUMBER(L9),K9, "")</f>
        <v>56</v>
      </c>
      <c r="N9" s="11">
        <f t="shared" ref="N9:N10" si="16">IF(ISNUMBER(L9),L9, 0)</f>
        <v>250000</v>
      </c>
      <c r="O9" s="12">
        <f t="shared" si="5"/>
        <v>-2500</v>
      </c>
      <c r="P9" s="12">
        <f t="shared" si="6"/>
        <v>2500</v>
      </c>
      <c r="Q9" s="12">
        <f t="shared" si="7"/>
        <v>0</v>
      </c>
      <c r="R9" s="11">
        <f>IF(J9 = 1, 0, $F$27*$H9/Tparts)</f>
        <v>10000</v>
      </c>
      <c r="S9" s="11">
        <f>IF(J9 = 2, 0, $F$28*$H9/Tparts)</f>
        <v>12500</v>
      </c>
      <c r="T9" s="11">
        <f>IF(J9 = 3, 0, $F$29*$H9/Tparts)</f>
        <v>12500</v>
      </c>
      <c r="U9" s="11">
        <f>IF(J9 = 4, 0, $F$30*$H9/Tparts)</f>
        <v>12500</v>
      </c>
      <c r="V9" s="11">
        <f>IF(J9 = 5, 0, $F$31*$H9/Tparts)</f>
        <v>12500</v>
      </c>
      <c r="W9" s="11">
        <f>IF(J9 = 6, 0, $F$32*$H9/Tparts)</f>
        <v>12500</v>
      </c>
      <c r="X9" s="11">
        <f>IF(J9 = 7, 0, $F$33*$H9/Tparts)</f>
        <v>0</v>
      </c>
      <c r="Y9" s="11">
        <f>IF(J9 = 8, 0, $F$34*$H9/Tparts)</f>
        <v>12500</v>
      </c>
      <c r="Z9" s="11">
        <f>IF(J9 = 9, 0, $F$35*$H9/Tparts)</f>
        <v>12500</v>
      </c>
      <c r="AA9" s="11">
        <f>IF(J9 = 10, 0, $F$36*$H9/Tparts)</f>
        <v>12500</v>
      </c>
      <c r="AB9" s="11">
        <f>IF(J9 = 11, 0, $F$37*$H9/Tparts)</f>
        <v>12500</v>
      </c>
      <c r="AC9" s="11">
        <f>IF(J9 = 12, 0, $F$38*$H9/Tparts)</f>
        <v>12500</v>
      </c>
      <c r="AD9" s="11">
        <f>IF(J9 = 13, 0, $F$39*$H9/Tparts)</f>
        <v>12500</v>
      </c>
      <c r="AE9" s="11">
        <f>IF(J9 = 14, 0, $F$40*$H9/Tparts)</f>
        <v>12500</v>
      </c>
      <c r="AF9" s="11">
        <f>IF(J9 = 15, 0, $F$41*$H9/Tparts)</f>
        <v>12500</v>
      </c>
      <c r="AG9" s="11">
        <f>IF(J9 = 16, 0, $F$42*$H9/Tparts)</f>
        <v>12500</v>
      </c>
      <c r="AH9" s="11">
        <f>IF(J9 = 17, 0, $F$43*$H9/Tparts)</f>
        <v>12500</v>
      </c>
      <c r="AI9" s="11">
        <f>IF(J9 = 18, 0, $F$44*$H9/Tparts)</f>
        <v>12500</v>
      </c>
      <c r="AJ9" s="11">
        <f>IF(J9 = 19, 0, $F$45*$H9/Tparts)</f>
        <v>12500</v>
      </c>
      <c r="AK9" s="11">
        <f>IF(J9 = 20, 0, $F$46*$H9/Tparts)</f>
        <v>12500</v>
      </c>
      <c r="AL9" s="33">
        <f t="shared" si="8"/>
        <v>235000</v>
      </c>
      <c r="AM9" s="37">
        <f>N9*H9/H$23</f>
        <v>12500</v>
      </c>
      <c r="AN9" s="33">
        <f>AM9+AL9</f>
        <v>247500</v>
      </c>
      <c r="AO9" s="31">
        <f t="shared" si="9"/>
        <v>250000</v>
      </c>
      <c r="AP9" s="31">
        <f t="shared" si="10"/>
        <v>12500</v>
      </c>
      <c r="AQ9" s="31">
        <f t="shared" si="11"/>
        <v>237500</v>
      </c>
      <c r="AR9" s="31">
        <f t="shared" si="12"/>
        <v>2500</v>
      </c>
    </row>
    <row r="10" spans="1:44" ht="15" customHeight="1">
      <c r="A10" s="16">
        <v>8</v>
      </c>
      <c r="B10" s="14" t="s">
        <v>8</v>
      </c>
      <c r="C10" s="14" t="s">
        <v>31</v>
      </c>
      <c r="D10" s="14"/>
      <c r="E10" s="14"/>
      <c r="F10" s="14"/>
      <c r="G10" s="14"/>
      <c r="H10" s="13">
        <v>5</v>
      </c>
      <c r="I10" s="11">
        <f t="shared" si="0"/>
        <v>247500</v>
      </c>
      <c r="J10" s="13">
        <v>8</v>
      </c>
      <c r="K10" s="3">
        <f t="shared" si="13"/>
        <v>57</v>
      </c>
      <c r="L10" s="3">
        <f t="shared" si="14"/>
        <v>250000</v>
      </c>
      <c r="M10" s="4">
        <f t="shared" si="15"/>
        <v>57</v>
      </c>
      <c r="N10" s="11">
        <f t="shared" si="16"/>
        <v>250000</v>
      </c>
      <c r="O10" s="12">
        <f t="shared" si="5"/>
        <v>-2500</v>
      </c>
      <c r="P10" s="12">
        <f t="shared" si="6"/>
        <v>2500</v>
      </c>
      <c r="Q10" s="12">
        <f t="shared" si="7"/>
        <v>0</v>
      </c>
      <c r="R10" s="11">
        <f>IF(J10 = 1, 0, $F$27*$H10/Tparts)</f>
        <v>10000</v>
      </c>
      <c r="S10" s="11">
        <f>IF(J10 = 2, 0, $F$28*$H10/Tparts)</f>
        <v>12500</v>
      </c>
      <c r="T10" s="11">
        <f>IF(J10 = 3, 0, $F$29*$H10/Tparts)</f>
        <v>12500</v>
      </c>
      <c r="U10" s="11">
        <f>IF(J10 = 4, 0, $F$30*$H10/Tparts)</f>
        <v>12500</v>
      </c>
      <c r="V10" s="11">
        <f>IF(J10 = 5, 0, $F$31*$H10/Tparts)</f>
        <v>12500</v>
      </c>
      <c r="W10" s="11">
        <f>IF(J10 = 6, 0, $F$32*$H10/Tparts)</f>
        <v>12500</v>
      </c>
      <c r="X10" s="11">
        <f>IF(J10 = 7, 0, $F$33*$H10/Tparts)</f>
        <v>12500</v>
      </c>
      <c r="Y10" s="11">
        <f>IF(J10 = 8, 0, $F$34*$H10/Tparts)</f>
        <v>0</v>
      </c>
      <c r="Z10" s="11">
        <f>IF(J10 = 9, 0, $F$35*$H10/Tparts)</f>
        <v>12500</v>
      </c>
      <c r="AA10" s="11">
        <f>IF(J10 = 10, 0, $F$36*$H10/Tparts)</f>
        <v>12500</v>
      </c>
      <c r="AB10" s="11">
        <f>IF(J10 = 11, 0, $F$37*$H10/Tparts)</f>
        <v>12500</v>
      </c>
      <c r="AC10" s="11">
        <f>IF(J10 = 12, 0, $F$38*$H10/Tparts)</f>
        <v>12500</v>
      </c>
      <c r="AD10" s="11">
        <f>IF(J10 = 13, 0, $F$39*$H10/Tparts)</f>
        <v>12500</v>
      </c>
      <c r="AE10" s="11">
        <f>IF(J10 = 14, 0, $F$40*$H10/Tparts)</f>
        <v>12500</v>
      </c>
      <c r="AF10" s="11">
        <f>IF(J10 = 15, 0, $F$41*$H10/Tparts)</f>
        <v>12500</v>
      </c>
      <c r="AG10" s="11">
        <f>IF(J10 = 16, 0, $F$42*$H10/Tparts)</f>
        <v>12500</v>
      </c>
      <c r="AH10" s="11">
        <f>IF(J10 = 17, 0, $F$43*$H10/Tparts)</f>
        <v>12500</v>
      </c>
      <c r="AI10" s="11">
        <f>IF(J10 = 18, 0, $F$44*$H10/Tparts)</f>
        <v>12500</v>
      </c>
      <c r="AJ10" s="11">
        <f>IF(J10 = 19, 0, $F$45*$H10/Tparts)</f>
        <v>12500</v>
      </c>
      <c r="AK10" s="11">
        <f>IF(J10 = 20, 0, $F$46*$H10/Tparts)</f>
        <v>12500</v>
      </c>
      <c r="AL10" s="33">
        <f t="shared" si="8"/>
        <v>235000</v>
      </c>
      <c r="AM10" s="37">
        <f>N10*H10/H$23</f>
        <v>12500</v>
      </c>
      <c r="AN10" s="33">
        <f>AM10+AL10</f>
        <v>247500</v>
      </c>
      <c r="AO10" s="31">
        <f t="shared" si="9"/>
        <v>250000</v>
      </c>
      <c r="AP10" s="31">
        <f t="shared" si="10"/>
        <v>12500</v>
      </c>
      <c r="AQ10" s="31">
        <f t="shared" si="11"/>
        <v>237500</v>
      </c>
      <c r="AR10" s="31">
        <f t="shared" si="12"/>
        <v>2500</v>
      </c>
    </row>
    <row r="11" spans="1:44" ht="15" customHeight="1">
      <c r="A11" s="16">
        <v>9</v>
      </c>
      <c r="B11" s="14" t="s">
        <v>9</v>
      </c>
      <c r="C11" s="14" t="s">
        <v>32</v>
      </c>
      <c r="D11" s="14"/>
      <c r="E11" s="14"/>
      <c r="F11" s="14"/>
      <c r="G11" s="14"/>
      <c r="H11" s="13">
        <v>5</v>
      </c>
      <c r="I11" s="11">
        <f t="shared" si="0"/>
        <v>247500</v>
      </c>
      <c r="J11" s="13">
        <v>9</v>
      </c>
      <c r="K11" s="3">
        <f t="shared" si="1"/>
        <v>58</v>
      </c>
      <c r="L11" s="3">
        <f t="shared" si="2"/>
        <v>250000</v>
      </c>
      <c r="M11" s="4">
        <f t="shared" si="3"/>
        <v>58</v>
      </c>
      <c r="N11" s="11">
        <f t="shared" si="4"/>
        <v>250000</v>
      </c>
      <c r="O11" s="12">
        <f t="shared" si="5"/>
        <v>-2500</v>
      </c>
      <c r="P11" s="12">
        <f t="shared" si="6"/>
        <v>2500</v>
      </c>
      <c r="Q11" s="12">
        <f t="shared" si="7"/>
        <v>0</v>
      </c>
      <c r="R11" s="11">
        <f>IF(J11 = 1, 0, $F$27*$H11/Tparts)</f>
        <v>10000</v>
      </c>
      <c r="S11" s="11">
        <f>IF(J11 = 2, 0, $F$28*$H11/Tparts)</f>
        <v>12500</v>
      </c>
      <c r="T11" s="11">
        <f>IF(J11 = 3, 0, $F$29*$H11/Tparts)</f>
        <v>12500</v>
      </c>
      <c r="U11" s="11">
        <f>IF(J11 = 4, 0, $F$30*$H11/Tparts)</f>
        <v>12500</v>
      </c>
      <c r="V11" s="11">
        <f>IF(J11 = 5, 0, $F$31*$H11/Tparts)</f>
        <v>12500</v>
      </c>
      <c r="W11" s="11">
        <f>IF(J11 = 6, 0, $F$32*$H11/Tparts)</f>
        <v>12500</v>
      </c>
      <c r="X11" s="11">
        <f>IF(J11 = 7, 0, $F$33*$H11/Tparts)</f>
        <v>12500</v>
      </c>
      <c r="Y11" s="11">
        <f>IF(J11 = 8, 0, $F$34*$H11/Tparts)</f>
        <v>12500</v>
      </c>
      <c r="Z11" s="11">
        <f>IF(J11 = 9, 0, $F$35*$H11/Tparts)</f>
        <v>0</v>
      </c>
      <c r="AA11" s="11">
        <f>IF(J11 = 10, 0, $F$36*$H11/Tparts)</f>
        <v>12500</v>
      </c>
      <c r="AB11" s="11">
        <f>IF(J11 = 11, 0, $F$37*$H11/Tparts)</f>
        <v>12500</v>
      </c>
      <c r="AC11" s="11">
        <f>IF(J11 = 12, 0, $F$38*$H11/Tparts)</f>
        <v>12500</v>
      </c>
      <c r="AD11" s="11">
        <f>IF(J11 = 13, 0, $F$39*$H11/Tparts)</f>
        <v>12500</v>
      </c>
      <c r="AE11" s="11">
        <f>IF(J11 = 14, 0, $F$40*$H11/Tparts)</f>
        <v>12500</v>
      </c>
      <c r="AF11" s="11">
        <f>IF(J11 = 15, 0, $F$41*$H11/Tparts)</f>
        <v>12500</v>
      </c>
      <c r="AG11" s="11">
        <f>IF(J11 = 16, 0, $F$42*$H11/Tparts)</f>
        <v>12500</v>
      </c>
      <c r="AH11" s="11">
        <f>IF(J11 = 17, 0, $F$43*$H11/Tparts)</f>
        <v>12500</v>
      </c>
      <c r="AI11" s="11">
        <f>IF(J11 = 18, 0, $F$44*$H11/Tparts)</f>
        <v>12500</v>
      </c>
      <c r="AJ11" s="11">
        <f>IF(J11 = 19, 0, $F$45*$H11/Tparts)</f>
        <v>12500</v>
      </c>
      <c r="AK11" s="11">
        <f>IF(J11 = 20, 0, $F$46*$H11/Tparts)</f>
        <v>12500</v>
      </c>
      <c r="AL11" s="33">
        <f t="shared" si="8"/>
        <v>235000</v>
      </c>
      <c r="AM11" s="37">
        <f>N11*H11/H$23</f>
        <v>12500</v>
      </c>
      <c r="AN11" s="33">
        <f>AM11+AL11</f>
        <v>247500</v>
      </c>
      <c r="AO11" s="31">
        <f t="shared" si="9"/>
        <v>250000</v>
      </c>
      <c r="AP11" s="31">
        <f t="shared" si="10"/>
        <v>12500</v>
      </c>
      <c r="AQ11" s="31">
        <f t="shared" si="11"/>
        <v>237500</v>
      </c>
      <c r="AR11" s="31">
        <f t="shared" si="12"/>
        <v>2500</v>
      </c>
    </row>
    <row r="12" spans="1:44" ht="15" customHeight="1">
      <c r="A12" s="16">
        <v>10</v>
      </c>
      <c r="B12" s="14" t="s">
        <v>7</v>
      </c>
      <c r="C12" s="14" t="s">
        <v>33</v>
      </c>
      <c r="D12" s="14"/>
      <c r="E12" s="14"/>
      <c r="F12" s="14"/>
      <c r="G12" s="14"/>
      <c r="H12" s="13">
        <v>5</v>
      </c>
      <c r="I12" s="11">
        <f t="shared" si="0"/>
        <v>247500</v>
      </c>
      <c r="J12" s="13">
        <v>10</v>
      </c>
      <c r="K12" s="3">
        <f t="shared" si="1"/>
        <v>59</v>
      </c>
      <c r="L12" s="3">
        <f t="shared" si="2"/>
        <v>250000</v>
      </c>
      <c r="M12" s="4">
        <f t="shared" si="3"/>
        <v>59</v>
      </c>
      <c r="N12" s="11">
        <f t="shared" si="4"/>
        <v>250000</v>
      </c>
      <c r="O12" s="12">
        <f t="shared" si="5"/>
        <v>-2500</v>
      </c>
      <c r="P12" s="12">
        <f t="shared" si="6"/>
        <v>2500</v>
      </c>
      <c r="Q12" s="12">
        <f t="shared" si="7"/>
        <v>0</v>
      </c>
      <c r="R12" s="11">
        <f>IF(J12 = 1, 0, $F$27*$H12/Tparts)</f>
        <v>10000</v>
      </c>
      <c r="S12" s="11">
        <f>IF(J12 = 2, 0, $F$28*$H12/Tparts)</f>
        <v>12500</v>
      </c>
      <c r="T12" s="11">
        <f>IF(J12 = 3, 0, $F$29*$H12/Tparts)</f>
        <v>12500</v>
      </c>
      <c r="U12" s="11">
        <f>IF(J12 = 4, 0, $F$30*$H12/Tparts)</f>
        <v>12500</v>
      </c>
      <c r="V12" s="11">
        <f>IF(J12 = 5, 0, $F$31*$H12/Tparts)</f>
        <v>12500</v>
      </c>
      <c r="W12" s="11">
        <f>IF(J12 = 6, 0, $F$32*$H12/Tparts)</f>
        <v>12500</v>
      </c>
      <c r="X12" s="11">
        <f>IF(J12 = 7, 0, $F$33*$H12/Tparts)</f>
        <v>12500</v>
      </c>
      <c r="Y12" s="11">
        <f>IF(J12 = 8, 0, $F$34*$H12/Tparts)</f>
        <v>12500</v>
      </c>
      <c r="Z12" s="11">
        <f>IF(J12 = 9, 0, $F$35*$H12/Tparts)</f>
        <v>12500</v>
      </c>
      <c r="AA12" s="11">
        <f>IF(J12 = 10, 0, $F$36*$H12/Tparts)</f>
        <v>0</v>
      </c>
      <c r="AB12" s="11">
        <f>IF(J12 = 11, 0, $F$37*$H12/Tparts)</f>
        <v>12500</v>
      </c>
      <c r="AC12" s="11">
        <f>IF(J12 = 12, 0, $F$38*$H12/Tparts)</f>
        <v>12500</v>
      </c>
      <c r="AD12" s="11">
        <f>IF(J12 = 13, 0, $F$39*$H12/Tparts)</f>
        <v>12500</v>
      </c>
      <c r="AE12" s="11">
        <f>IF(J12 = 14, 0, $F$40*$H12/Tparts)</f>
        <v>12500</v>
      </c>
      <c r="AF12" s="11">
        <f>IF(J12 = 15, 0, $F$41*$H12/Tparts)</f>
        <v>12500</v>
      </c>
      <c r="AG12" s="11">
        <f>IF(J12 = 16, 0, $F$42*$H12/Tparts)</f>
        <v>12500</v>
      </c>
      <c r="AH12" s="11">
        <f>IF(J12 = 17, 0, $F$43*$H12/Tparts)</f>
        <v>12500</v>
      </c>
      <c r="AI12" s="11">
        <f>IF(J12 = 18, 0, $F$44*$H12/Tparts)</f>
        <v>12500</v>
      </c>
      <c r="AJ12" s="11">
        <f>IF(J12 = 19, 0, $F$45*$H12/Tparts)</f>
        <v>12500</v>
      </c>
      <c r="AK12" s="11">
        <f>IF(J12 = 20, 0, $F$46*$H12/Tparts)</f>
        <v>12500</v>
      </c>
      <c r="AL12" s="33">
        <f t="shared" si="8"/>
        <v>235000</v>
      </c>
      <c r="AM12" s="37">
        <f>N12*H12/H$23</f>
        <v>12500</v>
      </c>
      <c r="AN12" s="33">
        <f>AM12+AL12</f>
        <v>247500</v>
      </c>
      <c r="AO12" s="31">
        <f t="shared" si="9"/>
        <v>250000</v>
      </c>
      <c r="AP12" s="31">
        <f t="shared" si="10"/>
        <v>12500</v>
      </c>
      <c r="AQ12" s="31">
        <f t="shared" si="11"/>
        <v>237500</v>
      </c>
      <c r="AR12" s="31">
        <f t="shared" si="12"/>
        <v>2500</v>
      </c>
    </row>
    <row r="13" spans="1:44" ht="15" customHeight="1">
      <c r="A13" s="16">
        <v>11</v>
      </c>
      <c r="B13" s="14" t="s">
        <v>8</v>
      </c>
      <c r="C13" s="14" t="s">
        <v>34</v>
      </c>
      <c r="D13" s="14"/>
      <c r="E13" s="14"/>
      <c r="F13" s="14"/>
      <c r="G13" s="14"/>
      <c r="H13" s="13">
        <v>5</v>
      </c>
      <c r="I13" s="11">
        <f t="shared" si="0"/>
        <v>247500</v>
      </c>
      <c r="J13" s="13">
        <v>11</v>
      </c>
      <c r="K13" s="3">
        <f t="shared" si="1"/>
        <v>60</v>
      </c>
      <c r="L13" s="3">
        <f t="shared" si="2"/>
        <v>250000</v>
      </c>
      <c r="M13" s="4">
        <f t="shared" si="3"/>
        <v>60</v>
      </c>
      <c r="N13" s="11">
        <f t="shared" si="4"/>
        <v>250000</v>
      </c>
      <c r="O13" s="12">
        <f t="shared" si="5"/>
        <v>-2500</v>
      </c>
      <c r="P13" s="12">
        <f t="shared" si="6"/>
        <v>2500</v>
      </c>
      <c r="Q13" s="12">
        <f t="shared" si="7"/>
        <v>0</v>
      </c>
      <c r="R13" s="11">
        <f>IF(J13 = 1, 0, $F$27*$H13/Tparts)</f>
        <v>10000</v>
      </c>
      <c r="S13" s="11">
        <f>IF(J13 = 2, 0, $F$28*$H13/Tparts)</f>
        <v>12500</v>
      </c>
      <c r="T13" s="11">
        <f>IF(J13 = 3, 0, $F$29*$H13/Tparts)</f>
        <v>12500</v>
      </c>
      <c r="U13" s="11">
        <f>IF(J13 = 4, 0, $F$30*$H13/Tparts)</f>
        <v>12500</v>
      </c>
      <c r="V13" s="11">
        <f>IF(J13 = 5, 0, $F$31*$H13/Tparts)</f>
        <v>12500</v>
      </c>
      <c r="W13" s="11">
        <f>IF(J13 = 6, 0, $F$32*$H13/Tparts)</f>
        <v>12500</v>
      </c>
      <c r="X13" s="11">
        <f>IF(J13 = 7, 0, $F$33*$H13/Tparts)</f>
        <v>12500</v>
      </c>
      <c r="Y13" s="11">
        <f>IF(J13 = 8, 0, $F$34*$H13/Tparts)</f>
        <v>12500</v>
      </c>
      <c r="Z13" s="11">
        <f>IF(J13 = 9, 0, $F$35*$H13/Tparts)</f>
        <v>12500</v>
      </c>
      <c r="AA13" s="11">
        <f>IF(J13 = 10, 0, $F$36*$H13/Tparts)</f>
        <v>12500</v>
      </c>
      <c r="AB13" s="11">
        <f>IF(J13 = 11, 0, $F$37*$H13/Tparts)</f>
        <v>0</v>
      </c>
      <c r="AC13" s="11">
        <f>IF(J13 = 12, 0, $F$38*$H13/Tparts)</f>
        <v>12500</v>
      </c>
      <c r="AD13" s="11">
        <f>IF(J13 = 13, 0, $F$39*$H13/Tparts)</f>
        <v>12500</v>
      </c>
      <c r="AE13" s="11">
        <f>IF(J13 = 14, 0, $F$40*$H13/Tparts)</f>
        <v>12500</v>
      </c>
      <c r="AF13" s="11">
        <f>IF(J13 = 15, 0, $F$41*$H13/Tparts)</f>
        <v>12500</v>
      </c>
      <c r="AG13" s="11">
        <f>IF(J13 = 16, 0, $F$42*$H13/Tparts)</f>
        <v>12500</v>
      </c>
      <c r="AH13" s="11">
        <f>IF(J13 = 17, 0, $F$43*$H13/Tparts)</f>
        <v>12500</v>
      </c>
      <c r="AI13" s="11">
        <f>IF(J13 = 18, 0, $F$44*$H13/Tparts)</f>
        <v>12500</v>
      </c>
      <c r="AJ13" s="11">
        <f>IF(J13 = 19, 0, $F$45*$H13/Tparts)</f>
        <v>12500</v>
      </c>
      <c r="AK13" s="11">
        <f>IF(J13 = 20, 0, $F$46*$H13/Tparts)</f>
        <v>12500</v>
      </c>
      <c r="AL13" s="33">
        <f t="shared" si="8"/>
        <v>235000</v>
      </c>
      <c r="AM13" s="37">
        <f>N13*H13/H$23</f>
        <v>12500</v>
      </c>
      <c r="AN13" s="33">
        <f>AM13+AL13</f>
        <v>247500</v>
      </c>
      <c r="AO13" s="31">
        <f t="shared" si="9"/>
        <v>250000</v>
      </c>
      <c r="AP13" s="31">
        <f t="shared" si="10"/>
        <v>12500</v>
      </c>
      <c r="AQ13" s="31">
        <f t="shared" si="11"/>
        <v>237500</v>
      </c>
      <c r="AR13" s="31">
        <f t="shared" si="12"/>
        <v>2500</v>
      </c>
    </row>
    <row r="14" spans="1:44" ht="15" customHeight="1">
      <c r="A14" s="16">
        <v>12</v>
      </c>
      <c r="B14" s="14" t="s">
        <v>9</v>
      </c>
      <c r="C14" s="14" t="s">
        <v>35</v>
      </c>
      <c r="D14" s="14"/>
      <c r="E14" s="14"/>
      <c r="F14" s="14"/>
      <c r="G14" s="14"/>
      <c r="H14" s="13">
        <v>5</v>
      </c>
      <c r="I14" s="11">
        <f t="shared" si="0"/>
        <v>247500</v>
      </c>
      <c r="J14" s="13">
        <v>12</v>
      </c>
      <c r="K14" s="3">
        <f t="shared" si="1"/>
        <v>61</v>
      </c>
      <c r="L14" s="3">
        <f t="shared" si="2"/>
        <v>250000</v>
      </c>
      <c r="M14" s="4">
        <f t="shared" si="3"/>
        <v>61</v>
      </c>
      <c r="N14" s="11">
        <f t="shared" si="4"/>
        <v>250000</v>
      </c>
      <c r="O14" s="12">
        <f t="shared" si="5"/>
        <v>-2500</v>
      </c>
      <c r="P14" s="12">
        <f t="shared" si="6"/>
        <v>2500</v>
      </c>
      <c r="Q14" s="12">
        <f t="shared" si="7"/>
        <v>0</v>
      </c>
      <c r="R14" s="11">
        <f>IF(J14 = 1, 0, $F$27*$H14/Tparts)</f>
        <v>10000</v>
      </c>
      <c r="S14" s="11">
        <f>IF(J14 = 2, 0, $F$28*$H14/Tparts)</f>
        <v>12500</v>
      </c>
      <c r="T14" s="11">
        <f>IF(J14 = 3, 0, $F$29*$H14/Tparts)</f>
        <v>12500</v>
      </c>
      <c r="U14" s="11">
        <f>IF(J14 = 4, 0, $F$30*$H14/Tparts)</f>
        <v>12500</v>
      </c>
      <c r="V14" s="11">
        <f>IF(J14 = 5, 0, $F$31*$H14/Tparts)</f>
        <v>12500</v>
      </c>
      <c r="W14" s="11">
        <f>IF(J14 = 6, 0, $F$32*$H14/Tparts)</f>
        <v>12500</v>
      </c>
      <c r="X14" s="11">
        <f>IF(J14 = 7, 0, $F$33*$H14/Tparts)</f>
        <v>12500</v>
      </c>
      <c r="Y14" s="11">
        <f>IF(J14 = 8, 0, $F$34*$H14/Tparts)</f>
        <v>12500</v>
      </c>
      <c r="Z14" s="11">
        <f>IF(J14 = 9, 0, $F$35*$H14/Tparts)</f>
        <v>12500</v>
      </c>
      <c r="AA14" s="11">
        <f>IF(J14 = 10, 0, $F$36*$H14/Tparts)</f>
        <v>12500</v>
      </c>
      <c r="AB14" s="11">
        <f>IF(J14 = 11, 0, $F$37*$H14/Tparts)</f>
        <v>12500</v>
      </c>
      <c r="AC14" s="11">
        <f>IF(J14 = 12, 0, $F$38*$H14/Tparts)</f>
        <v>0</v>
      </c>
      <c r="AD14" s="11">
        <f>IF(J14 = 13, 0, $F$39*$H14/Tparts)</f>
        <v>12500</v>
      </c>
      <c r="AE14" s="11">
        <f>IF(J14 = 14, 0, $F$40*$H14/Tparts)</f>
        <v>12500</v>
      </c>
      <c r="AF14" s="11">
        <f>IF(J14 = 15, 0, $F$41*$H14/Tparts)</f>
        <v>12500</v>
      </c>
      <c r="AG14" s="11">
        <f>IF(J14 = 16, 0, $F$42*$H14/Tparts)</f>
        <v>12500</v>
      </c>
      <c r="AH14" s="11">
        <f>IF(J14 = 17, 0, $F$43*$H14/Tparts)</f>
        <v>12500</v>
      </c>
      <c r="AI14" s="11">
        <f>IF(J14 = 18, 0, $F$44*$H14/Tparts)</f>
        <v>12500</v>
      </c>
      <c r="AJ14" s="11">
        <f>IF(J14 = 19, 0, $F$45*$H14/Tparts)</f>
        <v>12500</v>
      </c>
      <c r="AK14" s="11">
        <f>IF(J14 = 20, 0, $F$46*$H14/Tparts)</f>
        <v>12500</v>
      </c>
      <c r="AL14" s="33">
        <f t="shared" si="8"/>
        <v>235000</v>
      </c>
      <c r="AM14" s="37">
        <f>N14*H14/H$23</f>
        <v>12500</v>
      </c>
      <c r="AN14" s="33">
        <f>AM14+AL14</f>
        <v>247500</v>
      </c>
      <c r="AO14" s="31">
        <f t="shared" si="9"/>
        <v>250000</v>
      </c>
      <c r="AP14" s="31">
        <f t="shared" si="10"/>
        <v>12500</v>
      </c>
      <c r="AQ14" s="31">
        <f t="shared" si="11"/>
        <v>237500</v>
      </c>
      <c r="AR14" s="31">
        <f t="shared" si="12"/>
        <v>2500</v>
      </c>
    </row>
    <row r="15" spans="1:44">
      <c r="A15" s="16">
        <v>13</v>
      </c>
      <c r="B15" s="14" t="s">
        <v>7</v>
      </c>
      <c r="C15" s="14" t="s">
        <v>36</v>
      </c>
      <c r="D15" s="14"/>
      <c r="E15" s="14"/>
      <c r="F15" s="14"/>
      <c r="G15" s="14"/>
      <c r="H15" s="13">
        <v>5</v>
      </c>
      <c r="I15" s="11">
        <f t="shared" si="0"/>
        <v>247500</v>
      </c>
      <c r="J15" s="13">
        <v>13</v>
      </c>
      <c r="K15" s="3">
        <f t="shared" si="1"/>
        <v>62</v>
      </c>
      <c r="L15" s="3">
        <f t="shared" si="2"/>
        <v>250000</v>
      </c>
      <c r="M15" s="4">
        <f t="shared" si="3"/>
        <v>62</v>
      </c>
      <c r="N15" s="11">
        <f t="shared" si="4"/>
        <v>250000</v>
      </c>
      <c r="O15" s="12">
        <f t="shared" si="5"/>
        <v>-2500</v>
      </c>
      <c r="P15" s="12">
        <f t="shared" si="6"/>
        <v>2500</v>
      </c>
      <c r="Q15" s="12">
        <f t="shared" si="7"/>
        <v>0</v>
      </c>
      <c r="R15" s="11">
        <f>IF(J15 = 1, 0, $F$27*$H15/Tparts)</f>
        <v>10000</v>
      </c>
      <c r="S15" s="11">
        <f>IF(J15 = 2, 0, $F$28*$H15/Tparts)</f>
        <v>12500</v>
      </c>
      <c r="T15" s="11">
        <f>IF(J15 = 3, 0, $F$29*$H15/Tparts)</f>
        <v>12500</v>
      </c>
      <c r="U15" s="11">
        <f>IF(J15 = 4, 0, $F$30*$H15/Tparts)</f>
        <v>12500</v>
      </c>
      <c r="V15" s="11">
        <f>IF(J15 = 5, 0, $F$31*$H15/Tparts)</f>
        <v>12500</v>
      </c>
      <c r="W15" s="11">
        <f>IF(J15 = 6, 0, $F$32*$H15/Tparts)</f>
        <v>12500</v>
      </c>
      <c r="X15" s="11">
        <f>IF(J15 = 7, 0, $F$33*$H15/Tparts)</f>
        <v>12500</v>
      </c>
      <c r="Y15" s="11">
        <f>IF(J15 = 8, 0, $F$34*$H15/Tparts)</f>
        <v>12500</v>
      </c>
      <c r="Z15" s="11">
        <f>IF(J15 = 9, 0, $F$35*$H15/Tparts)</f>
        <v>12500</v>
      </c>
      <c r="AA15" s="11">
        <f>IF(J15 = 10, 0, $F$36*$H15/Tparts)</f>
        <v>12500</v>
      </c>
      <c r="AB15" s="11">
        <f>IF(J15 = 11, 0, $F$37*$H15/Tparts)</f>
        <v>12500</v>
      </c>
      <c r="AC15" s="11">
        <f>IF(J15 = 12, 0, $F$38*$H15/Tparts)</f>
        <v>12500</v>
      </c>
      <c r="AD15" s="11">
        <f>IF(J15 = 13, 0, $F$39*$H15/Tparts)</f>
        <v>0</v>
      </c>
      <c r="AE15" s="11">
        <f>IF(J15 = 14, 0, $F$40*$H15/Tparts)</f>
        <v>12500</v>
      </c>
      <c r="AF15" s="11">
        <f>IF(J15 = 15, 0, $F$41*$H15/Tparts)</f>
        <v>12500</v>
      </c>
      <c r="AG15" s="11">
        <f>IF(J15 = 16, 0, $F$42*$H15/Tparts)</f>
        <v>12500</v>
      </c>
      <c r="AH15" s="11">
        <f>IF(J15 = 17, 0, $F$43*$H15/Tparts)</f>
        <v>12500</v>
      </c>
      <c r="AI15" s="11">
        <f>IF(J15 = 18, 0, $F$44*$H15/Tparts)</f>
        <v>12500</v>
      </c>
      <c r="AJ15" s="11">
        <f>IF(J15 = 19, 0, $F$45*$H15/Tparts)</f>
        <v>12500</v>
      </c>
      <c r="AK15" s="11">
        <f>IF(J15 = 20, 0, $F$46*$H15/Tparts)</f>
        <v>12500</v>
      </c>
      <c r="AL15" s="33">
        <f t="shared" si="8"/>
        <v>235000</v>
      </c>
      <c r="AM15" s="37">
        <f>N15*H15/H$23</f>
        <v>12500</v>
      </c>
      <c r="AN15" s="33">
        <f>AM15+AL15</f>
        <v>247500</v>
      </c>
      <c r="AO15" s="31">
        <f t="shared" si="9"/>
        <v>250000</v>
      </c>
      <c r="AP15" s="31">
        <f t="shared" si="10"/>
        <v>12500</v>
      </c>
      <c r="AQ15" s="31">
        <f t="shared" si="11"/>
        <v>237500</v>
      </c>
      <c r="AR15" s="31">
        <f t="shared" si="12"/>
        <v>2500</v>
      </c>
    </row>
    <row r="16" spans="1:44">
      <c r="A16" s="16">
        <v>14</v>
      </c>
      <c r="B16" s="14" t="s">
        <v>8</v>
      </c>
      <c r="C16" s="14" t="s">
        <v>37</v>
      </c>
      <c r="D16" s="14"/>
      <c r="E16" s="14"/>
      <c r="F16" s="14"/>
      <c r="G16" s="14"/>
      <c r="H16" s="13">
        <v>5</v>
      </c>
      <c r="I16" s="11">
        <f t="shared" si="0"/>
        <v>247500</v>
      </c>
      <c r="J16" s="13">
        <v>14</v>
      </c>
      <c r="K16" s="3">
        <f t="shared" si="1"/>
        <v>63</v>
      </c>
      <c r="L16" s="3">
        <f t="shared" si="2"/>
        <v>250000</v>
      </c>
      <c r="M16" s="4">
        <f t="shared" si="3"/>
        <v>63</v>
      </c>
      <c r="N16" s="11">
        <f t="shared" si="4"/>
        <v>250000</v>
      </c>
      <c r="O16" s="12">
        <f t="shared" si="5"/>
        <v>-2500</v>
      </c>
      <c r="P16" s="12">
        <f t="shared" si="6"/>
        <v>2500</v>
      </c>
      <c r="Q16" s="12">
        <f t="shared" si="7"/>
        <v>0</v>
      </c>
      <c r="R16" s="11">
        <f>IF(J16 = 1, 0, $F$27*$H16/Tparts)</f>
        <v>10000</v>
      </c>
      <c r="S16" s="11">
        <f>IF(J16 = 2, 0, $F$28*$H16/Tparts)</f>
        <v>12500</v>
      </c>
      <c r="T16" s="11">
        <f>IF(J16 = 3, 0, $F$29*$H16/Tparts)</f>
        <v>12500</v>
      </c>
      <c r="U16" s="11">
        <f>IF(J16 = 4, 0, $F$30*$H16/Tparts)</f>
        <v>12500</v>
      </c>
      <c r="V16" s="11">
        <f>IF(J16 = 5, 0, $F$31*$H16/Tparts)</f>
        <v>12500</v>
      </c>
      <c r="W16" s="11">
        <f>IF(J16 = 6, 0, $F$32*$H16/Tparts)</f>
        <v>12500</v>
      </c>
      <c r="X16" s="11">
        <f>IF(J16 = 7, 0, $F$33*$H16/Tparts)</f>
        <v>12500</v>
      </c>
      <c r="Y16" s="11">
        <f>IF(J16 = 8, 0, $F$34*$H16/Tparts)</f>
        <v>12500</v>
      </c>
      <c r="Z16" s="11">
        <f>IF(J16 = 9, 0, $F$35*$H16/Tparts)</f>
        <v>12500</v>
      </c>
      <c r="AA16" s="11">
        <f>IF(J16 = 10, 0, $F$36*$H16/Tparts)</f>
        <v>12500</v>
      </c>
      <c r="AB16" s="11">
        <f>IF(J16 = 11, 0, $F$37*$H16/Tparts)</f>
        <v>12500</v>
      </c>
      <c r="AC16" s="11">
        <f>IF(J16 = 12, 0, $F$38*$H16/Tparts)</f>
        <v>12500</v>
      </c>
      <c r="AD16" s="11">
        <f>IF(J16 = 13, 0, $F$39*$H16/Tparts)</f>
        <v>12500</v>
      </c>
      <c r="AE16" s="11">
        <f>IF(J16 = 14, 0, $F$40*$H16/Tparts)</f>
        <v>0</v>
      </c>
      <c r="AF16" s="11">
        <f>IF(J16 = 15, 0, $F$41*$H16/Tparts)</f>
        <v>12500</v>
      </c>
      <c r="AG16" s="11">
        <f>IF(J16 = 16, 0, $F$42*$H16/Tparts)</f>
        <v>12500</v>
      </c>
      <c r="AH16" s="11">
        <f>IF(J16 = 17, 0, $F$43*$H16/Tparts)</f>
        <v>12500</v>
      </c>
      <c r="AI16" s="11">
        <f>IF(J16 = 18, 0, $F$44*$H16/Tparts)</f>
        <v>12500</v>
      </c>
      <c r="AJ16" s="11">
        <f>IF(J16 = 19, 0, $F$45*$H16/Tparts)</f>
        <v>12500</v>
      </c>
      <c r="AK16" s="11">
        <f>IF(J16 = 20, 0, $F$46*$H16/Tparts)</f>
        <v>12500</v>
      </c>
      <c r="AL16" s="33">
        <f t="shared" si="8"/>
        <v>235000</v>
      </c>
      <c r="AM16" s="37">
        <f>N16*H16/H$23</f>
        <v>12500</v>
      </c>
      <c r="AN16" s="33">
        <f>AM16+AL16</f>
        <v>247500</v>
      </c>
      <c r="AO16" s="31">
        <f t="shared" si="9"/>
        <v>250000</v>
      </c>
      <c r="AP16" s="31">
        <f t="shared" si="10"/>
        <v>12500</v>
      </c>
      <c r="AQ16" s="31">
        <f t="shared" si="11"/>
        <v>237500</v>
      </c>
      <c r="AR16" s="31">
        <f t="shared" si="12"/>
        <v>2500</v>
      </c>
    </row>
    <row r="17" spans="1:44">
      <c r="A17" s="16">
        <v>15</v>
      </c>
      <c r="B17" s="14" t="s">
        <v>9</v>
      </c>
      <c r="C17" s="14" t="s">
        <v>38</v>
      </c>
      <c r="D17" s="14"/>
      <c r="E17" s="14"/>
      <c r="F17" s="14"/>
      <c r="G17" s="14"/>
      <c r="H17" s="13">
        <v>5</v>
      </c>
      <c r="I17" s="11">
        <f t="shared" si="0"/>
        <v>247500</v>
      </c>
      <c r="J17" s="13">
        <v>15</v>
      </c>
      <c r="K17" s="3">
        <f t="shared" si="1"/>
        <v>64</v>
      </c>
      <c r="L17" s="3">
        <f t="shared" si="2"/>
        <v>250000</v>
      </c>
      <c r="M17" s="4">
        <f t="shared" si="3"/>
        <v>64</v>
      </c>
      <c r="N17" s="11">
        <f t="shared" si="4"/>
        <v>250000</v>
      </c>
      <c r="O17" s="12">
        <f t="shared" si="5"/>
        <v>-2500</v>
      </c>
      <c r="P17" s="12">
        <f t="shared" si="6"/>
        <v>2500</v>
      </c>
      <c r="Q17" s="12">
        <f t="shared" si="7"/>
        <v>0</v>
      </c>
      <c r="R17" s="11">
        <f>IF(J17 = 1, 0, $F$27*$H17/Tparts)</f>
        <v>10000</v>
      </c>
      <c r="S17" s="11">
        <f>IF(J17 = 2, 0, $F$28*$H17/Tparts)</f>
        <v>12500</v>
      </c>
      <c r="T17" s="11">
        <f>IF(J17 = 3, 0, $F$29*$H17/Tparts)</f>
        <v>12500</v>
      </c>
      <c r="U17" s="11">
        <f>IF(J17 = 4, 0, $F$30*$H17/Tparts)</f>
        <v>12500</v>
      </c>
      <c r="V17" s="11">
        <f>IF(J17 = 5, 0, $F$31*$H17/Tparts)</f>
        <v>12500</v>
      </c>
      <c r="W17" s="11">
        <f>IF(J17 = 6, 0, $F$32*$H17/Tparts)</f>
        <v>12500</v>
      </c>
      <c r="X17" s="11">
        <f>IF(J17 = 7, 0, $F$33*$H17/Tparts)</f>
        <v>12500</v>
      </c>
      <c r="Y17" s="11">
        <f>IF(J17 = 8, 0, $F$34*$H17/Tparts)</f>
        <v>12500</v>
      </c>
      <c r="Z17" s="11">
        <f>IF(J17 = 9, 0, $F$35*$H17/Tparts)</f>
        <v>12500</v>
      </c>
      <c r="AA17" s="11">
        <f>IF(J17 = 10, 0, $F$36*$H17/Tparts)</f>
        <v>12500</v>
      </c>
      <c r="AB17" s="11">
        <f>IF(J17 = 11, 0, $F$37*$H17/Tparts)</f>
        <v>12500</v>
      </c>
      <c r="AC17" s="11">
        <f>IF(J17 = 12, 0, $F$38*$H17/Tparts)</f>
        <v>12500</v>
      </c>
      <c r="AD17" s="11">
        <f>IF(J17 = 13, 0, $F$39*$H17/Tparts)</f>
        <v>12500</v>
      </c>
      <c r="AE17" s="11">
        <f>IF(J17 = 14, 0, $F$40*$H17/Tparts)</f>
        <v>12500</v>
      </c>
      <c r="AF17" s="11">
        <f>IF(J17 = 15, 0, $F$41*$H17/Tparts)</f>
        <v>0</v>
      </c>
      <c r="AG17" s="11">
        <f>IF(J17 = 16, 0, $F$42*$H17/Tparts)</f>
        <v>12500</v>
      </c>
      <c r="AH17" s="11">
        <f>IF(J17 = 17, 0, $F$43*$H17/Tparts)</f>
        <v>12500</v>
      </c>
      <c r="AI17" s="11">
        <f>IF(J17 = 18, 0, $F$44*$H17/Tparts)</f>
        <v>12500</v>
      </c>
      <c r="AJ17" s="11">
        <f>IF(J17 = 19, 0, $F$45*$H17/Tparts)</f>
        <v>12500</v>
      </c>
      <c r="AK17" s="11">
        <f>IF(J17 = 20, 0, $F$46*$H17/Tparts)</f>
        <v>12500</v>
      </c>
      <c r="AL17" s="33">
        <f t="shared" si="8"/>
        <v>235000</v>
      </c>
      <c r="AM17" s="37">
        <f>N17*H17/H$23</f>
        <v>12500</v>
      </c>
      <c r="AN17" s="33">
        <f>AM17+AL17</f>
        <v>247500</v>
      </c>
      <c r="AO17" s="31">
        <f t="shared" si="9"/>
        <v>250000</v>
      </c>
      <c r="AP17" s="31">
        <f t="shared" si="10"/>
        <v>12500</v>
      </c>
      <c r="AQ17" s="31">
        <f t="shared" si="11"/>
        <v>237500</v>
      </c>
      <c r="AR17" s="31">
        <f t="shared" si="12"/>
        <v>2500</v>
      </c>
    </row>
    <row r="18" spans="1:44">
      <c r="A18" s="16">
        <v>16</v>
      </c>
      <c r="B18" s="14" t="s">
        <v>7</v>
      </c>
      <c r="C18" s="14" t="s">
        <v>39</v>
      </c>
      <c r="D18" s="14"/>
      <c r="E18" s="14"/>
      <c r="F18" s="14"/>
      <c r="G18" s="14"/>
      <c r="H18" s="13">
        <v>5</v>
      </c>
      <c r="I18" s="11">
        <f t="shared" si="0"/>
        <v>247500</v>
      </c>
      <c r="J18" s="13">
        <v>16</v>
      </c>
      <c r="K18" s="3">
        <f t="shared" si="1"/>
        <v>65</v>
      </c>
      <c r="L18" s="3">
        <f t="shared" si="2"/>
        <v>250000</v>
      </c>
      <c r="M18" s="4">
        <f t="shared" si="3"/>
        <v>65</v>
      </c>
      <c r="N18" s="11">
        <f t="shared" si="4"/>
        <v>250000</v>
      </c>
      <c r="O18" s="12">
        <f t="shared" si="5"/>
        <v>-2500</v>
      </c>
      <c r="P18" s="12">
        <f t="shared" si="6"/>
        <v>2500</v>
      </c>
      <c r="Q18" s="12">
        <f t="shared" si="7"/>
        <v>0</v>
      </c>
      <c r="R18" s="11">
        <f>IF(J18 = 1, 0, $F$27*$H18/Tparts)</f>
        <v>10000</v>
      </c>
      <c r="S18" s="11">
        <f>IF(J18 = 2, 0, $F$28*$H18/Tparts)</f>
        <v>12500</v>
      </c>
      <c r="T18" s="11">
        <f>IF(J18 = 3, 0, $F$29*$H18/Tparts)</f>
        <v>12500</v>
      </c>
      <c r="U18" s="11">
        <f>IF(J18 = 4, 0, $F$30*$H18/Tparts)</f>
        <v>12500</v>
      </c>
      <c r="V18" s="11">
        <f>IF(J18 = 5, 0, $F$31*$H18/Tparts)</f>
        <v>12500</v>
      </c>
      <c r="W18" s="11">
        <f>IF(J18 = 6, 0, $F$32*$H18/Tparts)</f>
        <v>12500</v>
      </c>
      <c r="X18" s="11">
        <f>IF(J18 = 7, 0, $F$33*$H18/Tparts)</f>
        <v>12500</v>
      </c>
      <c r="Y18" s="11">
        <f>IF(J18 = 8, 0, $F$34*$H18/Tparts)</f>
        <v>12500</v>
      </c>
      <c r="Z18" s="11">
        <f>IF(J18 = 9, 0, $F$35*$H18/Tparts)</f>
        <v>12500</v>
      </c>
      <c r="AA18" s="11">
        <f>IF(J18 = 10, 0, $F$36*$H18/Tparts)</f>
        <v>12500</v>
      </c>
      <c r="AB18" s="11">
        <f>IF(J18 = 11, 0, $F$37*$H18/Tparts)</f>
        <v>12500</v>
      </c>
      <c r="AC18" s="11">
        <f>IF(J18 = 12, 0, $F$38*$H18/Tparts)</f>
        <v>12500</v>
      </c>
      <c r="AD18" s="11">
        <f>IF(J18 = 13, 0, $F$39*$H18/Tparts)</f>
        <v>12500</v>
      </c>
      <c r="AE18" s="11">
        <f>IF(J18 = 14, 0, $F$40*$H18/Tparts)</f>
        <v>12500</v>
      </c>
      <c r="AF18" s="11">
        <f>IF(J18 = 15, 0, $F$41*$H18/Tparts)</f>
        <v>12500</v>
      </c>
      <c r="AG18" s="11">
        <f>IF(J18 = 16, 0, $F$42*$H18/Tparts)</f>
        <v>0</v>
      </c>
      <c r="AH18" s="11">
        <f>IF(J18 = 17, 0, $F$43*$H18/Tparts)</f>
        <v>12500</v>
      </c>
      <c r="AI18" s="11">
        <f>IF(J18 = 18, 0, $F$44*$H18/Tparts)</f>
        <v>12500</v>
      </c>
      <c r="AJ18" s="11">
        <f>IF(J18 = 19, 0, $F$45*$H18/Tparts)</f>
        <v>12500</v>
      </c>
      <c r="AK18" s="11">
        <f>IF(J18 = 20, 0, $F$46*$H18/Tparts)</f>
        <v>12500</v>
      </c>
      <c r="AL18" s="33">
        <f t="shared" si="8"/>
        <v>235000</v>
      </c>
      <c r="AM18" s="37">
        <f>N18*H18/H$23</f>
        <v>12500</v>
      </c>
      <c r="AN18" s="33">
        <f>AM18+AL18</f>
        <v>247500</v>
      </c>
      <c r="AO18" s="31">
        <f t="shared" si="9"/>
        <v>250000</v>
      </c>
      <c r="AP18" s="31">
        <f t="shared" si="10"/>
        <v>12500</v>
      </c>
      <c r="AQ18" s="31">
        <f t="shared" si="11"/>
        <v>237500</v>
      </c>
      <c r="AR18" s="31">
        <f t="shared" si="12"/>
        <v>2500</v>
      </c>
    </row>
    <row r="19" spans="1:44">
      <c r="A19" s="16">
        <v>17</v>
      </c>
      <c r="B19" s="14" t="s">
        <v>8</v>
      </c>
      <c r="C19" s="14" t="s">
        <v>40</v>
      </c>
      <c r="D19" s="14"/>
      <c r="E19" s="14"/>
      <c r="F19" s="14"/>
      <c r="G19" s="14"/>
      <c r="H19" s="13">
        <v>5</v>
      </c>
      <c r="I19" s="11">
        <f t="shared" si="0"/>
        <v>247500</v>
      </c>
      <c r="J19" s="13">
        <v>17</v>
      </c>
      <c r="K19" s="3">
        <f t="shared" si="1"/>
        <v>66</v>
      </c>
      <c r="L19" s="3">
        <f t="shared" si="2"/>
        <v>250000</v>
      </c>
      <c r="M19" s="4">
        <f t="shared" si="3"/>
        <v>66</v>
      </c>
      <c r="N19" s="11">
        <f t="shared" si="4"/>
        <v>250000</v>
      </c>
      <c r="O19" s="12">
        <f t="shared" si="5"/>
        <v>-2500</v>
      </c>
      <c r="P19" s="12">
        <f t="shared" si="6"/>
        <v>2500</v>
      </c>
      <c r="Q19" s="12">
        <f t="shared" si="7"/>
        <v>0</v>
      </c>
      <c r="R19" s="11">
        <f>IF(J19 = 1, 0, $F$27*$H19/Tparts)</f>
        <v>10000</v>
      </c>
      <c r="S19" s="11">
        <f>IF(J19 = 2, 0, $F$28*$H19/Tparts)</f>
        <v>12500</v>
      </c>
      <c r="T19" s="11">
        <f>IF(J19 = 3, 0, $F$29*$H19/Tparts)</f>
        <v>12500</v>
      </c>
      <c r="U19" s="11">
        <f>IF(J19 = 4, 0, $F$30*$H19/Tparts)</f>
        <v>12500</v>
      </c>
      <c r="V19" s="11">
        <f>IF(J19 = 5, 0, $F$31*$H19/Tparts)</f>
        <v>12500</v>
      </c>
      <c r="W19" s="11">
        <f>IF(J19 = 6, 0, $F$32*$H19/Tparts)</f>
        <v>12500</v>
      </c>
      <c r="X19" s="11">
        <f>IF(J19 = 7, 0, $F$33*$H19/Tparts)</f>
        <v>12500</v>
      </c>
      <c r="Y19" s="11">
        <f>IF(J19 = 8, 0, $F$34*$H19/Tparts)</f>
        <v>12500</v>
      </c>
      <c r="Z19" s="11">
        <f>IF(J19 = 9, 0, $F$35*$H19/Tparts)</f>
        <v>12500</v>
      </c>
      <c r="AA19" s="11">
        <f>IF(J19 = 10, 0, $F$36*$H19/Tparts)</f>
        <v>12500</v>
      </c>
      <c r="AB19" s="11">
        <f>IF(J19 = 11, 0, $F$37*$H19/Tparts)</f>
        <v>12500</v>
      </c>
      <c r="AC19" s="11">
        <f>IF(J19 = 12, 0, $F$38*$H19/Tparts)</f>
        <v>12500</v>
      </c>
      <c r="AD19" s="11">
        <f>IF(J19 = 13, 0, $F$39*$H19/Tparts)</f>
        <v>12500</v>
      </c>
      <c r="AE19" s="11">
        <f>IF(J19 = 14, 0, $F$40*$H19/Tparts)</f>
        <v>12500</v>
      </c>
      <c r="AF19" s="11">
        <f>IF(J19 = 15, 0, $F$41*$H19/Tparts)</f>
        <v>12500</v>
      </c>
      <c r="AG19" s="11">
        <f>IF(J19 = 16, 0, $F$42*$H19/Tparts)</f>
        <v>12500</v>
      </c>
      <c r="AH19" s="11">
        <f>IF(J19 = 17, 0, $F$43*$H19/Tparts)</f>
        <v>0</v>
      </c>
      <c r="AI19" s="11">
        <f>IF(J19 = 18, 0, $F$44*$H19/Tparts)</f>
        <v>12500</v>
      </c>
      <c r="AJ19" s="11">
        <f>IF(J19 = 19, 0, $F$45*$H19/Tparts)</f>
        <v>12500</v>
      </c>
      <c r="AK19" s="11">
        <f>IF(J19 = 20, 0, $F$46*$H19/Tparts)</f>
        <v>12500</v>
      </c>
      <c r="AL19" s="33">
        <f t="shared" si="8"/>
        <v>235000</v>
      </c>
      <c r="AM19" s="37">
        <f>N19*H19/H$23</f>
        <v>12500</v>
      </c>
      <c r="AN19" s="33">
        <f>AM19+AL19</f>
        <v>247500</v>
      </c>
      <c r="AO19" s="31">
        <f t="shared" si="9"/>
        <v>250000</v>
      </c>
      <c r="AP19" s="31">
        <f t="shared" si="10"/>
        <v>12500</v>
      </c>
      <c r="AQ19" s="31">
        <f t="shared" si="11"/>
        <v>237500</v>
      </c>
      <c r="AR19" s="31">
        <f t="shared" si="12"/>
        <v>2500</v>
      </c>
    </row>
    <row r="20" spans="1:44">
      <c r="A20" s="16">
        <v>18</v>
      </c>
      <c r="B20" s="14" t="s">
        <v>9</v>
      </c>
      <c r="C20" s="14" t="s">
        <v>41</v>
      </c>
      <c r="D20" s="14"/>
      <c r="E20" s="14"/>
      <c r="F20" s="14"/>
      <c r="G20" s="14"/>
      <c r="H20" s="13">
        <v>5</v>
      </c>
      <c r="I20" s="11">
        <f t="shared" si="0"/>
        <v>247500</v>
      </c>
      <c r="J20" s="13">
        <v>18</v>
      </c>
      <c r="K20" s="3">
        <f t="shared" si="1"/>
        <v>67</v>
      </c>
      <c r="L20" s="3">
        <f t="shared" si="2"/>
        <v>250000</v>
      </c>
      <c r="M20" s="4">
        <f t="shared" si="3"/>
        <v>67</v>
      </c>
      <c r="N20" s="11">
        <f t="shared" si="4"/>
        <v>250000</v>
      </c>
      <c r="O20" s="12">
        <f t="shared" si="5"/>
        <v>-2500</v>
      </c>
      <c r="P20" s="12">
        <f t="shared" si="6"/>
        <v>2500</v>
      </c>
      <c r="Q20" s="12">
        <f t="shared" si="7"/>
        <v>0</v>
      </c>
      <c r="R20" s="11">
        <f>IF(J20 = 1, 0, $F$27*$H20/Tparts)</f>
        <v>10000</v>
      </c>
      <c r="S20" s="11">
        <f>IF(J20 = 2, 0, $F$28*$H20/Tparts)</f>
        <v>12500</v>
      </c>
      <c r="T20" s="11">
        <f>IF(J20 = 3, 0, $F$29*$H20/Tparts)</f>
        <v>12500</v>
      </c>
      <c r="U20" s="11">
        <f>IF(J20 = 4, 0, $F$30*$H20/Tparts)</f>
        <v>12500</v>
      </c>
      <c r="V20" s="11">
        <f>IF(J20 = 5, 0, $F$31*$H20/Tparts)</f>
        <v>12500</v>
      </c>
      <c r="W20" s="11">
        <f>IF(J20 = 6, 0, $F$32*$H20/Tparts)</f>
        <v>12500</v>
      </c>
      <c r="X20" s="11">
        <f>IF(J20 = 7, 0, $F$33*$H20/Tparts)</f>
        <v>12500</v>
      </c>
      <c r="Y20" s="11">
        <f>IF(J20 = 8, 0, $F$34*$H20/Tparts)</f>
        <v>12500</v>
      </c>
      <c r="Z20" s="11">
        <f>IF(J20 = 9, 0, $F$35*$H20/Tparts)</f>
        <v>12500</v>
      </c>
      <c r="AA20" s="11">
        <f>IF(J20 = 10, 0, $F$36*$H20/Tparts)</f>
        <v>12500</v>
      </c>
      <c r="AB20" s="11">
        <f>IF(J20 = 11, 0, $F$37*$H20/Tparts)</f>
        <v>12500</v>
      </c>
      <c r="AC20" s="11">
        <f>IF(J20 = 12, 0, $F$38*$H20/Tparts)</f>
        <v>12500</v>
      </c>
      <c r="AD20" s="11">
        <f>IF(J20 = 13, 0, $F$39*$H20/Tparts)</f>
        <v>12500</v>
      </c>
      <c r="AE20" s="11">
        <f>IF(J20 = 14, 0, $F$40*$H20/Tparts)</f>
        <v>12500</v>
      </c>
      <c r="AF20" s="11">
        <f>IF(J20 = 15, 0, $F$41*$H20/Tparts)</f>
        <v>12500</v>
      </c>
      <c r="AG20" s="11">
        <f>IF(J20 = 16, 0, $F$42*$H20/Tparts)</f>
        <v>12500</v>
      </c>
      <c r="AH20" s="11">
        <f>IF(J20 = 17, 0, $F$43*$H20/Tparts)</f>
        <v>12500</v>
      </c>
      <c r="AI20" s="11">
        <f>IF(J20 = 18, 0, $F$44*$H20/Tparts)</f>
        <v>0</v>
      </c>
      <c r="AJ20" s="11">
        <f>IF(J20 = 19, 0, $F$45*$H20/Tparts)</f>
        <v>12500</v>
      </c>
      <c r="AK20" s="11">
        <f>IF(J20 = 20, 0, $F$46*$H20/Tparts)</f>
        <v>12500</v>
      </c>
      <c r="AL20" s="33">
        <f t="shared" si="8"/>
        <v>235000</v>
      </c>
      <c r="AM20" s="37">
        <f>N20*H20/H$23</f>
        <v>12500</v>
      </c>
      <c r="AN20" s="33">
        <f>AM20+AL20</f>
        <v>247500</v>
      </c>
      <c r="AO20" s="31">
        <f t="shared" si="9"/>
        <v>250000</v>
      </c>
      <c r="AP20" s="31">
        <f t="shared" si="10"/>
        <v>12500</v>
      </c>
      <c r="AQ20" s="31">
        <f t="shared" si="11"/>
        <v>237500</v>
      </c>
      <c r="AR20" s="31">
        <f t="shared" si="12"/>
        <v>2500</v>
      </c>
    </row>
    <row r="21" spans="1:44">
      <c r="A21" s="16">
        <v>19</v>
      </c>
      <c r="B21" s="14" t="s">
        <v>7</v>
      </c>
      <c r="C21" s="14" t="s">
        <v>42</v>
      </c>
      <c r="D21" s="14"/>
      <c r="E21" s="14"/>
      <c r="F21" s="14"/>
      <c r="G21" s="14"/>
      <c r="H21" s="13">
        <v>5</v>
      </c>
      <c r="I21" s="11">
        <f t="shared" si="0"/>
        <v>247500</v>
      </c>
      <c r="J21" s="13">
        <v>19</v>
      </c>
      <c r="K21" s="3">
        <f t="shared" si="1"/>
        <v>68</v>
      </c>
      <c r="L21" s="3">
        <f t="shared" si="2"/>
        <v>250000</v>
      </c>
      <c r="M21" s="4">
        <f t="shared" si="3"/>
        <v>68</v>
      </c>
      <c r="N21" s="11">
        <f t="shared" si="4"/>
        <v>250000</v>
      </c>
      <c r="O21" s="12">
        <f t="shared" si="5"/>
        <v>-2500</v>
      </c>
      <c r="P21" s="12">
        <f t="shared" si="6"/>
        <v>2500</v>
      </c>
      <c r="Q21" s="12">
        <f t="shared" si="7"/>
        <v>0</v>
      </c>
      <c r="R21" s="11">
        <f>IF(J21 = 1, 0, $F$27*$H21/Tparts)</f>
        <v>10000</v>
      </c>
      <c r="S21" s="11">
        <f>IF(J21 = 2, 0, $F$28*$H21/Tparts)</f>
        <v>12500</v>
      </c>
      <c r="T21" s="11">
        <f>IF(J21 = 3, 0, $F$29*$H21/Tparts)</f>
        <v>12500</v>
      </c>
      <c r="U21" s="11">
        <f>IF(J21 = 4, 0, $F$30*$H21/Tparts)</f>
        <v>12500</v>
      </c>
      <c r="V21" s="11">
        <f>IF(J21 = 5, 0, $F$31*$H21/Tparts)</f>
        <v>12500</v>
      </c>
      <c r="W21" s="11">
        <f>IF(J21 = 6, 0, $F$32*$H21/Tparts)</f>
        <v>12500</v>
      </c>
      <c r="X21" s="11">
        <f>IF(J21 = 7, 0, $F$33*$H21/Tparts)</f>
        <v>12500</v>
      </c>
      <c r="Y21" s="11">
        <f>IF(J21 = 8, 0, $F$34*$H21/Tparts)</f>
        <v>12500</v>
      </c>
      <c r="Z21" s="11">
        <f>IF(J21 = 9, 0, $F$35*$H21/Tparts)</f>
        <v>12500</v>
      </c>
      <c r="AA21" s="11">
        <f>IF(J21 = 10, 0, $F$36*$H21/Tparts)</f>
        <v>12500</v>
      </c>
      <c r="AB21" s="11">
        <f>IF(J21 = 11, 0, $F$37*$H21/Tparts)</f>
        <v>12500</v>
      </c>
      <c r="AC21" s="11">
        <f>IF(J21 = 12, 0, $F$38*$H21/Tparts)</f>
        <v>12500</v>
      </c>
      <c r="AD21" s="11">
        <f>IF(J21 = 13, 0, $F$39*$H21/Tparts)</f>
        <v>12500</v>
      </c>
      <c r="AE21" s="11">
        <f>IF(J21 = 14, 0, $F$40*$H21/Tparts)</f>
        <v>12500</v>
      </c>
      <c r="AF21" s="11">
        <f>IF(J21 = 15, 0, $F$41*$H21/Tparts)</f>
        <v>12500</v>
      </c>
      <c r="AG21" s="11">
        <f>IF(J21 = 16, 0, $F$42*$H21/Tparts)</f>
        <v>12500</v>
      </c>
      <c r="AH21" s="11">
        <f>IF(J21 = 17, 0, $F$43*$H21/Tparts)</f>
        <v>12500</v>
      </c>
      <c r="AI21" s="11">
        <f>IF(J21 = 18, 0, $F$44*$H21/Tparts)</f>
        <v>12500</v>
      </c>
      <c r="AJ21" s="11">
        <f>IF(J21 = 19, 0, $F$45*$H21/Tparts)</f>
        <v>0</v>
      </c>
      <c r="AK21" s="11">
        <f>IF(J21 = 20, 0, $F$46*$H21/Tparts)</f>
        <v>12500</v>
      </c>
      <c r="AL21" s="33">
        <f t="shared" si="8"/>
        <v>235000</v>
      </c>
      <c r="AM21" s="37">
        <f>N21*H21/H$23</f>
        <v>12500</v>
      </c>
      <c r="AN21" s="33">
        <f>AM21+AL21</f>
        <v>247500</v>
      </c>
      <c r="AO21" s="31">
        <f t="shared" si="9"/>
        <v>250000</v>
      </c>
      <c r="AP21" s="31">
        <f t="shared" si="10"/>
        <v>12500</v>
      </c>
      <c r="AQ21" s="31">
        <f t="shared" si="11"/>
        <v>237500</v>
      </c>
      <c r="AR21" s="31">
        <f t="shared" si="12"/>
        <v>2500</v>
      </c>
    </row>
    <row r="22" spans="1:44">
      <c r="A22" s="16">
        <v>20</v>
      </c>
      <c r="B22" s="14" t="s">
        <v>8</v>
      </c>
      <c r="C22" s="14" t="s">
        <v>43</v>
      </c>
      <c r="D22" s="14"/>
      <c r="E22" s="14"/>
      <c r="F22" s="14"/>
      <c r="G22" s="14"/>
      <c r="H22" s="13">
        <v>5</v>
      </c>
      <c r="I22" s="11">
        <f t="shared" si="0"/>
        <v>247500</v>
      </c>
      <c r="J22" s="13">
        <v>20</v>
      </c>
      <c r="K22" s="3">
        <f t="shared" si="1"/>
        <v>69</v>
      </c>
      <c r="L22" s="3">
        <f t="shared" si="2"/>
        <v>250000</v>
      </c>
      <c r="M22" s="4">
        <f t="shared" si="3"/>
        <v>69</v>
      </c>
      <c r="N22" s="11">
        <f t="shared" si="4"/>
        <v>250000</v>
      </c>
      <c r="O22" s="12">
        <f t="shared" si="5"/>
        <v>-2500</v>
      </c>
      <c r="P22" s="12">
        <f t="shared" si="6"/>
        <v>2500</v>
      </c>
      <c r="Q22" s="12">
        <f t="shared" si="7"/>
        <v>0</v>
      </c>
      <c r="R22" s="11">
        <f>IF(J22 = 1, 0, $F$27*$H22/Tparts)</f>
        <v>10000</v>
      </c>
      <c r="S22" s="11">
        <f>IF(J22 = 2, 0, $F$28*$H22/Tparts)</f>
        <v>12500</v>
      </c>
      <c r="T22" s="11">
        <f>IF(J22 = 3, 0, $F$29*$H22/Tparts)</f>
        <v>12500</v>
      </c>
      <c r="U22" s="11">
        <f>IF(J22 = 4, 0, $F$30*$H22/Tparts)</f>
        <v>12500</v>
      </c>
      <c r="V22" s="11">
        <f>IF(J22 = 5, 0, $F$31*$H22/Tparts)</f>
        <v>12500</v>
      </c>
      <c r="W22" s="11">
        <f>IF(J22 = 6, 0, $F$32*$H22/Tparts)</f>
        <v>12500</v>
      </c>
      <c r="X22" s="11">
        <f>IF(J22 = 7, 0, $F$33*$H22/Tparts)</f>
        <v>12500</v>
      </c>
      <c r="Y22" s="11">
        <f>IF(J22 = 8, 0, $F$34*$H22/Tparts)</f>
        <v>12500</v>
      </c>
      <c r="Z22" s="11">
        <f>IF(J22 = 9, 0, $F$35*$H22/Tparts)</f>
        <v>12500</v>
      </c>
      <c r="AA22" s="11">
        <f>IF(J22 = 10, 0, $F$36*$H22/Tparts)</f>
        <v>12500</v>
      </c>
      <c r="AB22" s="11">
        <f>IF(J22 = 11, 0, $F$37*$H22/Tparts)</f>
        <v>12500</v>
      </c>
      <c r="AC22" s="11">
        <f>IF(J22 = 12, 0, $F$38*$H22/Tparts)</f>
        <v>12500</v>
      </c>
      <c r="AD22" s="11">
        <f>IF(J22 = 13, 0, $F$39*$H22/Tparts)</f>
        <v>12500</v>
      </c>
      <c r="AE22" s="11">
        <f>IF(J22 = 14, 0, $F$40*$H22/Tparts)</f>
        <v>12500</v>
      </c>
      <c r="AF22" s="11">
        <f>IF(J22 = 15, 0, $F$41*$H22/Tparts)</f>
        <v>12500</v>
      </c>
      <c r="AG22" s="11">
        <f>IF(J22 = 16, 0, $F$42*$H22/Tparts)</f>
        <v>12500</v>
      </c>
      <c r="AH22" s="11">
        <f>IF(J22 = 17, 0, $F$43*$H22/Tparts)</f>
        <v>12500</v>
      </c>
      <c r="AI22" s="11">
        <f>IF(J22 = 18, 0, $F$44*$H22/Tparts)</f>
        <v>12500</v>
      </c>
      <c r="AJ22" s="11">
        <f>IF(J22 = 19, 0, $F$45*$H22/Tparts)</f>
        <v>12500</v>
      </c>
      <c r="AK22" s="11">
        <f>IF(J22 = 20, 0, $F$46*$H22/Tparts)</f>
        <v>0</v>
      </c>
      <c r="AL22" s="33">
        <f t="shared" si="8"/>
        <v>235000</v>
      </c>
      <c r="AM22" s="37">
        <f>N22*H22/H$23</f>
        <v>12500</v>
      </c>
      <c r="AN22" s="33">
        <f>AM22+AL22</f>
        <v>247500</v>
      </c>
      <c r="AO22" s="31">
        <f t="shared" si="9"/>
        <v>250000</v>
      </c>
      <c r="AP22" s="31">
        <f t="shared" si="10"/>
        <v>12500</v>
      </c>
      <c r="AQ22" s="31">
        <f t="shared" si="11"/>
        <v>237500</v>
      </c>
      <c r="AR22" s="31">
        <f t="shared" si="12"/>
        <v>2500</v>
      </c>
    </row>
    <row r="23" spans="1:44" s="20" customFormat="1" ht="18.75">
      <c r="A23" s="19"/>
      <c r="G23" s="21" t="s">
        <v>18</v>
      </c>
      <c r="H23" s="22">
        <f>SUM(H3:H22)</f>
        <v>100</v>
      </c>
      <c r="I23" s="23">
        <f>SUM(I3:I22)</f>
        <v>4950000</v>
      </c>
      <c r="K23" s="19"/>
      <c r="L23" s="19" t="s">
        <v>20</v>
      </c>
      <c r="N23" s="23">
        <f>SUM(N3:N22)</f>
        <v>4950000</v>
      </c>
      <c r="O23" s="24">
        <f>SUM(O3:O22)</f>
        <v>0</v>
      </c>
      <c r="P23" s="25">
        <f t="shared" ref="P23:Q23" si="17">SUM(P3:P22)</f>
        <v>47500</v>
      </c>
      <c r="Q23" s="25">
        <f t="shared" si="17"/>
        <v>47500</v>
      </c>
      <c r="R23" s="29">
        <f>SUM(R3:R22)</f>
        <v>190000</v>
      </c>
      <c r="S23" s="29">
        <f t="shared" ref="S23:AK23" si="18">SUM(S3:S22)</f>
        <v>237500</v>
      </c>
      <c r="T23" s="29">
        <f t="shared" si="18"/>
        <v>237500</v>
      </c>
      <c r="U23" s="29">
        <f t="shared" si="18"/>
        <v>237500</v>
      </c>
      <c r="V23" s="29">
        <f t="shared" si="18"/>
        <v>237500</v>
      </c>
      <c r="W23" s="29">
        <f t="shared" si="18"/>
        <v>237500</v>
      </c>
      <c r="X23" s="29">
        <f t="shared" si="18"/>
        <v>237500</v>
      </c>
      <c r="Y23" s="29">
        <f t="shared" si="18"/>
        <v>237500</v>
      </c>
      <c r="Z23" s="29">
        <f t="shared" si="18"/>
        <v>237500</v>
      </c>
      <c r="AA23" s="29">
        <f t="shared" si="18"/>
        <v>237500</v>
      </c>
      <c r="AB23" s="29">
        <f t="shared" si="18"/>
        <v>237500</v>
      </c>
      <c r="AC23" s="29">
        <f t="shared" si="18"/>
        <v>237500</v>
      </c>
      <c r="AD23" s="29">
        <f t="shared" si="18"/>
        <v>237500</v>
      </c>
      <c r="AE23" s="29">
        <f t="shared" si="18"/>
        <v>237500</v>
      </c>
      <c r="AF23" s="29">
        <f t="shared" si="18"/>
        <v>237500</v>
      </c>
      <c r="AG23" s="29">
        <f t="shared" si="18"/>
        <v>237500</v>
      </c>
      <c r="AH23" s="29">
        <f t="shared" si="18"/>
        <v>237500</v>
      </c>
      <c r="AI23" s="29">
        <f t="shared" si="18"/>
        <v>237500</v>
      </c>
      <c r="AJ23" s="29">
        <f t="shared" si="18"/>
        <v>237500</v>
      </c>
      <c r="AK23" s="29">
        <f t="shared" si="18"/>
        <v>237500</v>
      </c>
      <c r="AM23" s="35"/>
      <c r="AO23" s="34">
        <f>SUM(AL3:AL22)</f>
        <v>4702500</v>
      </c>
      <c r="AR23" s="29">
        <f t="shared" ref="AR23" si="19">SUM(AR3:AR22)</f>
        <v>0</v>
      </c>
    </row>
    <row r="24" spans="1:44">
      <c r="H24" s="28" t="s">
        <v>59</v>
      </c>
      <c r="I24" s="27">
        <f>I23/Tparts</f>
        <v>49500</v>
      </c>
      <c r="AL24" s="29">
        <f>SUM(R23:AK23)</f>
        <v>4702500</v>
      </c>
      <c r="AN24" s="35"/>
    </row>
    <row r="26" spans="1:44" ht="30" customHeight="1">
      <c r="A26" s="6" t="s">
        <v>2</v>
      </c>
      <c r="B26" s="6" t="s">
        <v>11</v>
      </c>
      <c r="C26" s="6" t="s">
        <v>12</v>
      </c>
      <c r="D26" s="6" t="s">
        <v>13</v>
      </c>
      <c r="E26" s="6" t="s">
        <v>14</v>
      </c>
      <c r="F26" s="6" t="s">
        <v>15</v>
      </c>
      <c r="G26" t="s">
        <v>20</v>
      </c>
      <c r="I26" s="30" t="s">
        <v>56</v>
      </c>
      <c r="J26" s="30"/>
      <c r="K26" s="30"/>
      <c r="L26" s="30"/>
      <c r="M26" s="30"/>
      <c r="N26" s="30"/>
    </row>
    <row r="27" spans="1:44" ht="15" customHeight="1">
      <c r="A27" s="3">
        <v>1</v>
      </c>
      <c r="B27" s="14" t="s">
        <v>45</v>
      </c>
      <c r="C27" s="14" t="s">
        <v>46</v>
      </c>
      <c r="D27" s="14"/>
      <c r="E27" s="14">
        <v>1000</v>
      </c>
      <c r="F27" s="15">
        <v>200000</v>
      </c>
    </row>
    <row r="28" spans="1:44" ht="15" customHeight="1">
      <c r="A28" s="3">
        <v>2</v>
      </c>
      <c r="B28" s="14" t="s">
        <v>47</v>
      </c>
      <c r="C28" s="14" t="s">
        <v>48</v>
      </c>
      <c r="D28" s="14"/>
      <c r="E28" s="14">
        <v>1000</v>
      </c>
      <c r="F28" s="15">
        <v>250000</v>
      </c>
      <c r="I28" s="30" t="s">
        <v>55</v>
      </c>
      <c r="J28" s="30"/>
      <c r="K28" s="30"/>
      <c r="L28" s="30"/>
      <c r="M28" s="30"/>
      <c r="N28" s="30"/>
    </row>
    <row r="29" spans="1:44" ht="15" customHeight="1">
      <c r="A29" s="3">
        <v>3</v>
      </c>
      <c r="B29" s="14" t="s">
        <v>49</v>
      </c>
      <c r="C29" s="14" t="s">
        <v>50</v>
      </c>
      <c r="D29" s="14"/>
      <c r="E29" s="14">
        <v>1000</v>
      </c>
      <c r="F29" s="15">
        <v>250000</v>
      </c>
      <c r="I29" s="18" t="s">
        <v>20</v>
      </c>
      <c r="J29" s="18"/>
      <c r="K29" s="18"/>
      <c r="L29" s="18"/>
      <c r="M29" s="18"/>
      <c r="N29" s="18"/>
    </row>
    <row r="30" spans="1:44" ht="15" customHeight="1">
      <c r="A30" s="3">
        <v>4</v>
      </c>
      <c r="B30" s="14" t="s">
        <v>51</v>
      </c>
      <c r="C30" s="14" t="s">
        <v>52</v>
      </c>
      <c r="D30" s="14"/>
      <c r="E30" s="14">
        <v>1000</v>
      </c>
      <c r="F30" s="15">
        <v>250000</v>
      </c>
      <c r="I30" s="30" t="s">
        <v>20</v>
      </c>
      <c r="J30" s="30"/>
      <c r="K30" s="30"/>
      <c r="L30" s="30"/>
      <c r="M30" s="30"/>
      <c r="N30" s="30"/>
    </row>
    <row r="31" spans="1:44" ht="15" customHeight="1">
      <c r="A31" s="3">
        <v>5</v>
      </c>
      <c r="B31" s="14" t="s">
        <v>53</v>
      </c>
      <c r="C31" s="14" t="s">
        <v>54</v>
      </c>
      <c r="D31" s="14"/>
      <c r="E31" s="14">
        <v>1000</v>
      </c>
      <c r="F31" s="15">
        <v>250000</v>
      </c>
      <c r="I31" s="17"/>
      <c r="J31" s="17"/>
      <c r="K31" s="17"/>
      <c r="L31" s="17"/>
      <c r="M31" s="17"/>
      <c r="N31" s="17"/>
    </row>
    <row r="32" spans="1:44" ht="15" customHeight="1">
      <c r="A32" s="3">
        <v>6</v>
      </c>
      <c r="B32" s="14">
        <v>55</v>
      </c>
      <c r="C32" s="14" t="s">
        <v>58</v>
      </c>
      <c r="D32" s="14"/>
      <c r="E32" s="14">
        <v>1000</v>
      </c>
      <c r="F32" s="15">
        <v>250000</v>
      </c>
      <c r="I32" s="17"/>
      <c r="J32" s="17"/>
      <c r="K32" s="17"/>
      <c r="L32" s="17"/>
      <c r="M32" s="17"/>
      <c r="N32" s="17"/>
    </row>
    <row r="33" spans="1:14" ht="15" customHeight="1">
      <c r="A33" s="3">
        <v>7</v>
      </c>
      <c r="B33" s="14">
        <v>56</v>
      </c>
      <c r="C33" s="14"/>
      <c r="D33" s="14"/>
      <c r="E33" s="14">
        <v>1000</v>
      </c>
      <c r="F33" s="15">
        <v>250000</v>
      </c>
      <c r="I33" s="17"/>
      <c r="J33" s="17"/>
      <c r="K33" s="17"/>
      <c r="L33" s="17"/>
      <c r="M33" s="17"/>
      <c r="N33" s="17"/>
    </row>
    <row r="34" spans="1:14" ht="15" customHeight="1">
      <c r="A34" s="3">
        <v>8</v>
      </c>
      <c r="B34" s="14">
        <v>57</v>
      </c>
      <c r="C34" s="14"/>
      <c r="D34" s="14"/>
      <c r="E34" s="14">
        <v>1000</v>
      </c>
      <c r="F34" s="15">
        <v>250000</v>
      </c>
      <c r="I34" s="17"/>
      <c r="J34" s="17"/>
      <c r="K34" s="17"/>
      <c r="L34" s="17"/>
      <c r="M34" s="17"/>
      <c r="N34" s="17"/>
    </row>
    <row r="35" spans="1:14" ht="15" customHeight="1">
      <c r="A35" s="3">
        <v>9</v>
      </c>
      <c r="B35" s="14">
        <v>58</v>
      </c>
      <c r="C35" s="14"/>
      <c r="D35" s="14"/>
      <c r="E35" s="14">
        <v>1000</v>
      </c>
      <c r="F35" s="15">
        <v>250000</v>
      </c>
      <c r="I35" s="17"/>
      <c r="J35" s="17"/>
      <c r="K35" s="17"/>
      <c r="L35" s="17"/>
      <c r="M35" s="17"/>
      <c r="N35" s="17"/>
    </row>
    <row r="36" spans="1:14" ht="15" customHeight="1">
      <c r="A36" s="3">
        <v>10</v>
      </c>
      <c r="B36" s="14">
        <v>59</v>
      </c>
      <c r="C36" s="14"/>
      <c r="D36" s="14"/>
      <c r="E36" s="14">
        <v>1000</v>
      </c>
      <c r="F36" s="15">
        <v>250000</v>
      </c>
      <c r="I36" s="17"/>
      <c r="J36" s="17"/>
      <c r="K36" s="17"/>
      <c r="L36" s="17"/>
      <c r="M36" s="17"/>
      <c r="N36" s="17"/>
    </row>
    <row r="37" spans="1:14" ht="15" customHeight="1">
      <c r="A37" s="3">
        <v>11</v>
      </c>
      <c r="B37" s="14">
        <v>60</v>
      </c>
      <c r="C37" s="14"/>
      <c r="D37" s="14"/>
      <c r="E37" s="14">
        <v>1000</v>
      </c>
      <c r="F37" s="15">
        <v>250000</v>
      </c>
      <c r="I37" s="17"/>
      <c r="J37" s="17"/>
      <c r="K37" s="17"/>
      <c r="L37" s="17"/>
      <c r="M37" s="17"/>
      <c r="N37" s="17"/>
    </row>
    <row r="38" spans="1:14" ht="15" customHeight="1">
      <c r="A38" s="3">
        <v>12</v>
      </c>
      <c r="B38" s="14">
        <v>61</v>
      </c>
      <c r="C38" s="14"/>
      <c r="D38" s="14"/>
      <c r="E38" s="14">
        <v>1000</v>
      </c>
      <c r="F38" s="15">
        <v>250000</v>
      </c>
      <c r="I38" s="17"/>
      <c r="J38" s="17"/>
      <c r="K38" s="17"/>
      <c r="L38" s="17"/>
      <c r="M38" s="17"/>
      <c r="N38" s="17"/>
    </row>
    <row r="39" spans="1:14" ht="15" customHeight="1">
      <c r="A39" s="3">
        <v>13</v>
      </c>
      <c r="B39" s="14">
        <v>62</v>
      </c>
      <c r="C39" s="14"/>
      <c r="D39" s="14"/>
      <c r="E39" s="14">
        <v>1000</v>
      </c>
      <c r="F39" s="15">
        <v>250000</v>
      </c>
      <c r="I39" s="17"/>
      <c r="J39" s="17"/>
      <c r="K39" s="17"/>
      <c r="L39" s="17"/>
      <c r="M39" s="17"/>
      <c r="N39" s="17"/>
    </row>
    <row r="40" spans="1:14" ht="15" customHeight="1">
      <c r="A40" s="3">
        <v>14</v>
      </c>
      <c r="B40" s="14">
        <v>63</v>
      </c>
      <c r="C40" s="14"/>
      <c r="D40" s="14"/>
      <c r="E40" s="14">
        <v>1000</v>
      </c>
      <c r="F40" s="15">
        <v>250000</v>
      </c>
      <c r="I40" s="17"/>
      <c r="J40" s="17"/>
      <c r="K40" s="17"/>
      <c r="L40" s="17"/>
      <c r="M40" s="17"/>
      <c r="N40" s="17"/>
    </row>
    <row r="41" spans="1:14" ht="15" customHeight="1">
      <c r="A41" s="3">
        <v>15</v>
      </c>
      <c r="B41" s="14">
        <v>64</v>
      </c>
      <c r="C41" s="14"/>
      <c r="D41" s="14"/>
      <c r="E41" s="14">
        <v>1000</v>
      </c>
      <c r="F41" s="15">
        <v>250000</v>
      </c>
      <c r="I41" s="17"/>
      <c r="J41" s="17"/>
      <c r="K41" s="17"/>
      <c r="L41" s="17"/>
      <c r="M41" s="17"/>
      <c r="N41" s="17"/>
    </row>
    <row r="42" spans="1:14" ht="15" customHeight="1">
      <c r="A42" s="3">
        <v>16</v>
      </c>
      <c r="B42" s="14">
        <v>65</v>
      </c>
      <c r="C42" s="14"/>
      <c r="D42" s="14"/>
      <c r="E42" s="14">
        <v>1000</v>
      </c>
      <c r="F42" s="15">
        <v>250000</v>
      </c>
      <c r="I42" s="17"/>
      <c r="J42" s="17"/>
      <c r="K42" s="17"/>
      <c r="L42" s="17"/>
      <c r="M42" s="17"/>
      <c r="N42" s="17"/>
    </row>
    <row r="43" spans="1:14" ht="15" customHeight="1">
      <c r="A43" s="3">
        <v>17</v>
      </c>
      <c r="B43" s="14">
        <v>66</v>
      </c>
      <c r="C43" s="14"/>
      <c r="D43" s="14"/>
      <c r="E43" s="14">
        <v>1000</v>
      </c>
      <c r="F43" s="15">
        <v>250000</v>
      </c>
      <c r="I43" s="17"/>
      <c r="J43" s="17"/>
      <c r="K43" s="17"/>
      <c r="L43" s="17"/>
      <c r="M43" s="17"/>
      <c r="N43" s="17"/>
    </row>
    <row r="44" spans="1:14" ht="15" customHeight="1">
      <c r="A44" s="3">
        <v>18</v>
      </c>
      <c r="B44" s="14">
        <v>67</v>
      </c>
      <c r="C44" s="14"/>
      <c r="D44" s="14"/>
      <c r="E44" s="14">
        <v>1000</v>
      </c>
      <c r="F44" s="15">
        <v>250000</v>
      </c>
      <c r="I44" s="17"/>
      <c r="J44" s="17"/>
      <c r="K44" s="17"/>
      <c r="L44" s="17"/>
      <c r="M44" s="17"/>
      <c r="N44" s="17"/>
    </row>
    <row r="45" spans="1:14" ht="15" customHeight="1">
      <c r="A45" s="3">
        <v>19</v>
      </c>
      <c r="B45" s="14">
        <v>68</v>
      </c>
      <c r="C45" s="14"/>
      <c r="D45" s="14"/>
      <c r="E45" s="14">
        <v>1000</v>
      </c>
      <c r="F45" s="15">
        <v>250000</v>
      </c>
      <c r="I45" s="17"/>
      <c r="J45" s="17"/>
      <c r="K45" s="17"/>
      <c r="L45" s="17"/>
      <c r="M45" s="17"/>
      <c r="N45" s="17"/>
    </row>
    <row r="46" spans="1:14" ht="15" customHeight="1">
      <c r="A46" s="3">
        <v>20</v>
      </c>
      <c r="B46" s="14">
        <v>69</v>
      </c>
      <c r="C46" s="14"/>
      <c r="D46" s="14"/>
      <c r="E46" s="14">
        <v>1000</v>
      </c>
      <c r="F46" s="15">
        <v>250000</v>
      </c>
      <c r="I46" s="17"/>
      <c r="J46" s="17"/>
      <c r="K46" s="17"/>
      <c r="L46" s="17"/>
      <c r="M46" s="17"/>
      <c r="N46" s="17"/>
    </row>
    <row r="47" spans="1:14" ht="18.75">
      <c r="A47" s="7"/>
      <c r="B47" s="8"/>
      <c r="C47" s="8"/>
      <c r="D47" s="8"/>
      <c r="E47" s="9" t="s">
        <v>16</v>
      </c>
      <c r="F47" s="23">
        <f>+SUM(F27:F46)</f>
        <v>4950000</v>
      </c>
      <c r="H47" s="26"/>
      <c r="I47" s="17"/>
      <c r="J47" s="17"/>
      <c r="K47" s="17"/>
      <c r="L47" s="17"/>
      <c r="M47" s="17"/>
      <c r="N47" s="17"/>
    </row>
  </sheetData>
  <sheetProtection selectLockedCells="1"/>
  <mergeCells count="3">
    <mergeCell ref="I26:N26"/>
    <mergeCell ref="I28:N28"/>
    <mergeCell ref="I30:N30"/>
  </mergeCells>
  <dataValidations disablePrompts="1" count="1">
    <dataValidation type="whole" operator="equal" allowBlank="1" showInputMessage="1" showErrorMessage="1" sqref="H47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mokhtar</vt:lpstr>
      <vt:lpstr>Feuil2</vt:lpstr>
      <vt:lpstr>Feuil3</vt:lpstr>
      <vt:lpstr>Biens</vt:lpstr>
      <vt:lpstr>Tparts</vt:lpstr>
      <vt:lpstr>Tvaleurs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2015-11-01T11:23:25Z</dcterms:created>
  <dcterms:modified xsi:type="dcterms:W3CDTF">2015-11-13T17:40:59Z</dcterms:modified>
</cp:coreProperties>
</file>