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3"/>
  </bookViews>
  <sheets>
    <sheet name="Plannif" sheetId="1" r:id="rId1"/>
    <sheet name="Inj1" sheetId="2" r:id="rId2"/>
    <sheet name="Inj2" sheetId="3" r:id="rId3"/>
    <sheet name="Graph1" sheetId="4" r:id="rId4"/>
  </sheets>
  <externalReferences>
    <externalReference r:id="rId5"/>
  </externalReferences>
  <definedNames>
    <definedName name="_xlnm._FilterDatabase" localSheetId="1" hidden="1">'Inj1'!$A$2:$I$12</definedName>
    <definedName name="_xlnm._FilterDatabase" localSheetId="2" hidden="1">'Inj2'!$A$2:$I$26</definedName>
    <definedName name="Cap">Plannif!$D$17:$D$29</definedName>
    <definedName name="Champs">Plannif!$A$17:$I$29</definedName>
    <definedName name="ChampsInj">Plannif!$A$3:$I$12</definedName>
    <definedName name="Inj" localSheetId="1">[1]Plannif!$A$4:$A$12</definedName>
    <definedName name="Inj" localSheetId="2">[1]Plannif!$A$4:$A$12</definedName>
    <definedName name="Inj">Plannif!$A$4:$A$12</definedName>
    <definedName name="Inje" localSheetId="1">[1]Plannif!$A$17:$A$29</definedName>
    <definedName name="Inje" localSheetId="2">[1]Plannif!$A$17:$A$29</definedName>
    <definedName name="Inje">Plannif!$A$17:$A$29</definedName>
    <definedName name="Nom">[1]Feuil2!$A$2:$A$19</definedName>
    <definedName name="Per">Plannif!$C$4:$C$12</definedName>
    <definedName name="Perso">Plannif!$C$17:$C$29</definedName>
    <definedName name="Prio">[1]Feuil2!$C$2:$C$19</definedName>
    <definedName name="Priori">Plannif!$I$4:$I$12</definedName>
    <definedName name="Priorit">Plannif!$I$17:$I$29</definedName>
    <definedName name="solver_adj" localSheetId="0" hidden="1">Plannif!$B$4:$C$12,Plannif!$K$4:$K$12,Plannif!$B$17:$C$29,Plannif!$K$17:$K$29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Plannif!$K$17:$K$29</definedName>
    <definedName name="solver_lhs10" localSheetId="0" hidden="1">Plannif!$B$17:$B$29</definedName>
    <definedName name="solver_lhs11" localSheetId="0" hidden="1">Plannif!$H$29</definedName>
    <definedName name="solver_lhs12" localSheetId="0" hidden="1">Plannif!$K$4:$K$12</definedName>
    <definedName name="solver_lhs13" localSheetId="0" hidden="1">Plannif!$B$4:$B$12</definedName>
    <definedName name="solver_lhs14" localSheetId="0" hidden="1">Plannif!$U$3:$U$16</definedName>
    <definedName name="solver_lhs15" localSheetId="0" hidden="1">Plannif!$H$12</definedName>
    <definedName name="solver_lhs16" localSheetId="0" hidden="1">Plannif!$O$6</definedName>
    <definedName name="solver_lhs17" localSheetId="0" hidden="1">Plannif!$O$6</definedName>
    <definedName name="solver_lhs18" localSheetId="0" hidden="1">Plannif!$O$19</definedName>
    <definedName name="solver_lhs19" localSheetId="0" hidden="1">Plannif!$O$19</definedName>
    <definedName name="solver_lhs2" localSheetId="0" hidden="1">Plannif!$C$4:$C$12</definedName>
    <definedName name="solver_lhs3" localSheetId="0" hidden="1">Plannif!$C$17:$C$29</definedName>
    <definedName name="solver_lhs4" localSheetId="0" hidden="1">Plannif!$B$17:$B$29</definedName>
    <definedName name="solver_lhs5" localSheetId="0" hidden="1">Plannif!$B$4:$B$12</definedName>
    <definedName name="solver_lhs6" localSheetId="0" hidden="1">Plannif!$C$17:$C$29</definedName>
    <definedName name="solver_lhs7" localSheetId="0" hidden="1">Plannif!$C$4:$C$12</definedName>
    <definedName name="solver_lhs8" localSheetId="0" hidden="1">Plannif!$C$4:$C$12</definedName>
    <definedName name="solver_lhs9" localSheetId="0" hidden="1">Plannif!$C$17:$C$29</definedName>
    <definedName name="solver_lin" localSheetId="0" hidden="1">2</definedName>
    <definedName name="solver_neg" localSheetId="0" hidden="1">1</definedName>
    <definedName name="solver_num" localSheetId="0" hidden="1">19</definedName>
    <definedName name="solver_nwt" localSheetId="0" hidden="1">1</definedName>
    <definedName name="solver_opt" localSheetId="0" hidden="1">Plannif!$S$25</definedName>
    <definedName name="solver_pre" localSheetId="0" hidden="1">0.01</definedName>
    <definedName name="solver_rel1" localSheetId="0" hidden="1">5</definedName>
    <definedName name="solver_rel10" localSheetId="0" hidden="1">1</definedName>
    <definedName name="solver_rel11" localSheetId="0" hidden="1">1</definedName>
    <definedName name="solver_rel12" localSheetId="0" hidden="1">5</definedName>
    <definedName name="solver_rel13" localSheetId="0" hidden="1">1</definedName>
    <definedName name="solver_rel14" localSheetId="0" hidden="1">2</definedName>
    <definedName name="solver_rel15" localSheetId="0" hidden="1">1</definedName>
    <definedName name="solver_rel16" localSheetId="0" hidden="1">1</definedName>
    <definedName name="solver_rel17" localSheetId="0" hidden="1">3</definedName>
    <definedName name="solver_rel18" localSheetId="0" hidden="1">1</definedName>
    <definedName name="solver_rel19" localSheetId="0" hidden="1">3</definedName>
    <definedName name="solver_rel2" localSheetId="0" hidden="1">4</definedName>
    <definedName name="solver_rel3" localSheetId="0" hidden="1">4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1</definedName>
    <definedName name="solver_rel9" localSheetId="0" hidden="1">1</definedName>
    <definedName name="solver_rhs1" localSheetId="0" hidden="1">binaire</definedName>
    <definedName name="solver_rhs10" localSheetId="0" hidden="1">Plannif!$L$17:$L$29</definedName>
    <definedName name="solver_rhs11" localSheetId="0" hidden="1">Plannif!$W$13</definedName>
    <definedName name="solver_rhs12" localSheetId="0" hidden="1">binaire</definedName>
    <definedName name="solver_rhs13" localSheetId="0" hidden="1">Plannif!$L$4:$L$12</definedName>
    <definedName name="solver_rhs14" localSheetId="0" hidden="1">Plannif!$T$3:$T$16</definedName>
    <definedName name="solver_rhs15" localSheetId="0" hidden="1">Plannif!$W$13</definedName>
    <definedName name="solver_rhs16" localSheetId="0" hidden="1">Plannif!$Q$19</definedName>
    <definedName name="solver_rhs17" localSheetId="0" hidden="1">Plannif!$N$19</definedName>
    <definedName name="solver_rhs18" localSheetId="0" hidden="1">Plannif!$Q$6</definedName>
    <definedName name="solver_rhs19" localSheetId="0" hidden="1">Plannif!$N$6</definedName>
    <definedName name="solver_rhs2" localSheetId="0" hidden="1">entier</definedName>
    <definedName name="solver_rhs3" localSheetId="0" hidden="1">entier</definedName>
    <definedName name="solver_rhs4" localSheetId="0" hidden="1">0</definedName>
    <definedName name="solver_rhs5" localSheetId="0" hidden="1">0</definedName>
    <definedName name="solver_rhs6" localSheetId="0" hidden="1">4</definedName>
    <definedName name="solver_rhs7" localSheetId="0" hidden="1">4</definedName>
    <definedName name="solver_rhs8" localSheetId="0" hidden="1">5</definedName>
    <definedName name="solver_rhs9" localSheetId="0" hidden="1">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up">[1]Feuil2!$D$2:$D$19</definedName>
    <definedName name="Vol" localSheetId="1">[1]Plannif!$B$4:$B$12</definedName>
    <definedName name="Vol" localSheetId="2">[1]Plannif!$B$4:$B$12</definedName>
    <definedName name="Vol">Plannif!$B$4:$B$12</definedName>
    <definedName name="Volu" localSheetId="1">[1]Plannif!$B$17:$B$29</definedName>
    <definedName name="Volu" localSheetId="2">[1]Plannif!$B$17:$B$29</definedName>
    <definedName name="Volu">Plannif!$B$17:$B$29</definedName>
  </definedNames>
  <calcPr calcId="125725"/>
</workbook>
</file>

<file path=xl/calcChain.xml><?xml version="1.0" encoding="utf-8"?>
<calcChain xmlns="http://schemas.openxmlformats.org/spreadsheetml/2006/main">
  <c r="K14" i="1"/>
  <c r="K31"/>
  <c r="O3"/>
  <c r="G36"/>
  <c r="G37"/>
  <c r="G38"/>
  <c r="G35"/>
  <c r="H37"/>
  <c r="H38"/>
  <c r="H35"/>
  <c r="H36" s="1"/>
  <c r="F36"/>
  <c r="F37"/>
  <c r="F38"/>
  <c r="F35"/>
  <c r="E36"/>
  <c r="E37"/>
  <c r="E38"/>
  <c r="E35"/>
  <c r="B38" l="1"/>
  <c r="B36"/>
  <c r="B37"/>
  <c r="B35"/>
  <c r="C11" i="2"/>
  <c r="D19" i="3"/>
  <c r="D20"/>
  <c r="D21"/>
  <c r="D22"/>
  <c r="D23"/>
  <c r="D24"/>
  <c r="D25"/>
  <c r="D26"/>
  <c r="D18"/>
  <c r="H17"/>
  <c r="C25"/>
  <c r="C8"/>
  <c r="C9"/>
  <c r="C10"/>
  <c r="C12"/>
  <c r="C13"/>
  <c r="C14"/>
  <c r="C17"/>
  <c r="C8" i="2"/>
  <c r="B18" i="3"/>
  <c r="E18" s="1"/>
  <c r="B17"/>
  <c r="H3" i="2"/>
  <c r="G3" s="1"/>
  <c r="F3" s="1"/>
  <c r="H3" i="3"/>
  <c r="G3" s="1"/>
  <c r="F3" s="1"/>
  <c r="E3"/>
  <c r="B7" i="2"/>
  <c r="B4"/>
  <c r="U16" i="1"/>
  <c r="U3"/>
  <c r="U4"/>
  <c r="U5"/>
  <c r="U6"/>
  <c r="U7"/>
  <c r="U8"/>
  <c r="U9"/>
  <c r="U10"/>
  <c r="U11"/>
  <c r="U12"/>
  <c r="U13"/>
  <c r="U14"/>
  <c r="U15"/>
  <c r="A12" i="2" l="1"/>
  <c r="A11"/>
  <c r="A10"/>
  <c r="A17" i="3" s="1"/>
  <c r="A9" i="2"/>
  <c r="A7"/>
  <c r="A24" i="3" s="1"/>
  <c r="A8" i="2"/>
  <c r="A25" i="3" s="1"/>
  <c r="A6" i="2"/>
  <c r="A23" i="3" s="1"/>
  <c r="A5" i="2"/>
  <c r="A22" i="3" s="1"/>
  <c r="A4" i="2"/>
  <c r="A21" i="3" s="1"/>
  <c r="I8" i="2"/>
  <c r="I7"/>
  <c r="I6"/>
  <c r="I5"/>
  <c r="I12"/>
  <c r="I11"/>
  <c r="I10"/>
  <c r="C7"/>
  <c r="C21" i="3" s="1"/>
  <c r="E7" i="2"/>
  <c r="C22" i="3"/>
  <c r="C6" i="2"/>
  <c r="C20" i="3" s="1"/>
  <c r="C5" i="2"/>
  <c r="C19" i="3" s="1"/>
  <c r="C12" i="2"/>
  <c r="C26" i="3" s="1"/>
  <c r="B12" i="2"/>
  <c r="E12" s="1"/>
  <c r="C10"/>
  <c r="C24" i="3" s="1"/>
  <c r="C9" i="2"/>
  <c r="C23" i="3" s="1"/>
  <c r="C4" i="2"/>
  <c r="C18" i="3" s="1"/>
  <c r="H18" s="1"/>
  <c r="I9" i="2"/>
  <c r="I4"/>
  <c r="B8"/>
  <c r="E8" s="1"/>
  <c r="B6"/>
  <c r="E6" s="1"/>
  <c r="B5"/>
  <c r="E5" s="1"/>
  <c r="B11"/>
  <c r="E11" s="1"/>
  <c r="B10"/>
  <c r="E10" s="1"/>
  <c r="B9"/>
  <c r="E9" s="1"/>
  <c r="E4"/>
  <c r="A5" i="3"/>
  <c r="C5"/>
  <c r="C16"/>
  <c r="C15"/>
  <c r="C7"/>
  <c r="C4"/>
  <c r="C11"/>
  <c r="C6"/>
  <c r="B5"/>
  <c r="B19" s="1"/>
  <c r="E19" s="1"/>
  <c r="B7"/>
  <c r="B21" s="1"/>
  <c r="E21" s="1"/>
  <c r="B6"/>
  <c r="B20" s="1"/>
  <c r="E20" s="1"/>
  <c r="B14"/>
  <c r="B15"/>
  <c r="B16"/>
  <c r="O16" i="1"/>
  <c r="P16" s="1"/>
  <c r="D12" i="3"/>
  <c r="D13"/>
  <c r="D14"/>
  <c r="D6"/>
  <c r="D7"/>
  <c r="D8"/>
  <c r="D9"/>
  <c r="D10"/>
  <c r="D5"/>
  <c r="D4"/>
  <c r="E4" s="1"/>
  <c r="D15"/>
  <c r="D16"/>
  <c r="D11"/>
  <c r="I12"/>
  <c r="I13"/>
  <c r="I14"/>
  <c r="I6"/>
  <c r="I7"/>
  <c r="I8"/>
  <c r="I9"/>
  <c r="I10"/>
  <c r="I5"/>
  <c r="I4"/>
  <c r="I15"/>
  <c r="I16"/>
  <c r="I11"/>
  <c r="B12"/>
  <c r="B13"/>
  <c r="E13" s="1"/>
  <c r="B8"/>
  <c r="B22" s="1"/>
  <c r="E22" s="1"/>
  <c r="B9"/>
  <c r="B23" s="1"/>
  <c r="E23" s="1"/>
  <c r="B10"/>
  <c r="B24" s="1"/>
  <c r="E24" s="1"/>
  <c r="B11"/>
  <c r="B25" s="1"/>
  <c r="E25" s="1"/>
  <c r="H25" s="1"/>
  <c r="A12"/>
  <c r="A13"/>
  <c r="A14"/>
  <c r="A6"/>
  <c r="A7"/>
  <c r="A8"/>
  <c r="A9"/>
  <c r="A10"/>
  <c r="A4"/>
  <c r="A15"/>
  <c r="A16"/>
  <c r="A11"/>
  <c r="L31" i="1"/>
  <c r="L28" s="1"/>
  <c r="L29"/>
  <c r="E29"/>
  <c r="F29" s="1"/>
  <c r="E28"/>
  <c r="F28" s="1"/>
  <c r="E27"/>
  <c r="F27" s="1"/>
  <c r="E26"/>
  <c r="F26" s="1"/>
  <c r="E25"/>
  <c r="F25" s="1"/>
  <c r="E24"/>
  <c r="F24" s="1"/>
  <c r="E23"/>
  <c r="F23" s="1"/>
  <c r="L22"/>
  <c r="E22"/>
  <c r="F22" s="1"/>
  <c r="L21"/>
  <c r="E21"/>
  <c r="F21" s="1"/>
  <c r="L20"/>
  <c r="E20"/>
  <c r="F20" s="1"/>
  <c r="L19"/>
  <c r="E19"/>
  <c r="F19" s="1"/>
  <c r="L18"/>
  <c r="E18"/>
  <c r="F18" s="1"/>
  <c r="L17"/>
  <c r="E17"/>
  <c r="F17" s="1"/>
  <c r="L14"/>
  <c r="L11" s="1"/>
  <c r="E12"/>
  <c r="F12" s="1"/>
  <c r="E11"/>
  <c r="F11" s="1"/>
  <c r="L10"/>
  <c r="E10"/>
  <c r="F10" s="1"/>
  <c r="E9"/>
  <c r="F9" s="1"/>
  <c r="L8"/>
  <c r="E8"/>
  <c r="F8" s="1"/>
  <c r="E7"/>
  <c r="F7" s="1"/>
  <c r="L6"/>
  <c r="E6"/>
  <c r="F6" s="1"/>
  <c r="E5"/>
  <c r="F5" s="1"/>
  <c r="L4"/>
  <c r="E4"/>
  <c r="F4" s="1"/>
  <c r="W3"/>
  <c r="P3"/>
  <c r="H24" i="3" l="1"/>
  <c r="H20"/>
  <c r="H23"/>
  <c r="H19"/>
  <c r="H22"/>
  <c r="H21"/>
  <c r="E12"/>
  <c r="H12" s="1"/>
  <c r="B26"/>
  <c r="E26" s="1"/>
  <c r="H26" s="1"/>
  <c r="A19"/>
  <c r="A26"/>
  <c r="A20"/>
  <c r="A18"/>
  <c r="E10"/>
  <c r="H10" s="1"/>
  <c r="E8"/>
  <c r="H8" s="1"/>
  <c r="E16"/>
  <c r="H16" s="1"/>
  <c r="H9" i="2"/>
  <c r="H11"/>
  <c r="H6"/>
  <c r="H12"/>
  <c r="L12" i="1"/>
  <c r="L5"/>
  <c r="L7"/>
  <c r="L9"/>
  <c r="L24"/>
  <c r="L27"/>
  <c r="E11" i="3"/>
  <c r="H11" s="1"/>
  <c r="E9"/>
  <c r="H9" s="1"/>
  <c r="E15"/>
  <c r="H15" s="1"/>
  <c r="E6"/>
  <c r="H6" s="1"/>
  <c r="H4"/>
  <c r="E14"/>
  <c r="H14" s="1"/>
  <c r="E7"/>
  <c r="H7" s="1"/>
  <c r="E5"/>
  <c r="H5" s="1"/>
  <c r="H10" i="2"/>
  <c r="H5"/>
  <c r="H8"/>
  <c r="H7"/>
  <c r="H4"/>
  <c r="H13" i="3"/>
  <c r="H4" i="1"/>
  <c r="H17"/>
  <c r="L23"/>
  <c r="L25"/>
  <c r="L26"/>
  <c r="G4" i="3" l="1"/>
  <c r="F4" s="1"/>
  <c r="H18" i="1"/>
  <c r="G17"/>
  <c r="H5"/>
  <c r="G4"/>
  <c r="G5" i="3" l="1"/>
  <c r="G6" s="1"/>
  <c r="H6" i="1"/>
  <c r="G5"/>
  <c r="H19"/>
  <c r="G18"/>
  <c r="F5" i="3" l="1"/>
  <c r="G7"/>
  <c r="F6"/>
  <c r="G19" i="1"/>
  <c r="H20"/>
  <c r="G6"/>
  <c r="H7"/>
  <c r="G8" i="3" l="1"/>
  <c r="F7"/>
  <c r="G7" i="1"/>
  <c r="H8"/>
  <c r="H21"/>
  <c r="G20"/>
  <c r="G9" i="3" l="1"/>
  <c r="F8"/>
  <c r="G8" i="1"/>
  <c r="H9"/>
  <c r="H22"/>
  <c r="G21"/>
  <c r="G10" i="3" l="1"/>
  <c r="F9"/>
  <c r="G9" i="1"/>
  <c r="H10"/>
  <c r="H23"/>
  <c r="G22"/>
  <c r="G11" i="3" l="1"/>
  <c r="F10"/>
  <c r="G10" i="1"/>
  <c r="H11"/>
  <c r="H24"/>
  <c r="G23"/>
  <c r="G12" i="3" l="1"/>
  <c r="F11"/>
  <c r="G11" i="1"/>
  <c r="H12"/>
  <c r="H25"/>
  <c r="G24"/>
  <c r="G13" i="3" l="1"/>
  <c r="F12"/>
  <c r="G12" i="1"/>
  <c r="O6"/>
  <c r="H26"/>
  <c r="G25"/>
  <c r="G4" i="2" l="1"/>
  <c r="N6" i="1"/>
  <c r="Q6"/>
  <c r="F13" i="3"/>
  <c r="G14"/>
  <c r="H27" i="1"/>
  <c r="G26"/>
  <c r="F4" i="2" l="1"/>
  <c r="G5"/>
  <c r="G15" i="3"/>
  <c r="F14"/>
  <c r="H28" i="1"/>
  <c r="H29" s="1"/>
  <c r="G29" s="1"/>
  <c r="G27"/>
  <c r="F5" i="2" l="1"/>
  <c r="G6"/>
  <c r="F15" i="3"/>
  <c r="G16"/>
  <c r="F16" s="1"/>
  <c r="O19" i="1"/>
  <c r="G28"/>
  <c r="F6" i="2" l="1"/>
  <c r="G7"/>
  <c r="Q19" i="1"/>
  <c r="N19"/>
  <c r="F7" i="2" l="1"/>
  <c r="G8"/>
  <c r="S25" i="1"/>
  <c r="F8" i="2" l="1"/>
  <c r="G9"/>
  <c r="G10" l="1"/>
  <c r="F9"/>
  <c r="F10" l="1"/>
  <c r="G11"/>
  <c r="F11" l="1"/>
  <c r="G12"/>
  <c r="F12" s="1"/>
</calcChain>
</file>

<file path=xl/sharedStrings.xml><?xml version="1.0" encoding="utf-8"?>
<sst xmlns="http://schemas.openxmlformats.org/spreadsheetml/2006/main" count="114" uniqueCount="51">
  <si>
    <t>Hareng</t>
  </si>
  <si>
    <t xml:space="preserve">Injecteur 1 </t>
  </si>
  <si>
    <t>Chgt série</t>
  </si>
  <si>
    <t>Temps</t>
  </si>
  <si>
    <t>Volume</t>
  </si>
  <si>
    <t>Volume Gernal</t>
  </si>
  <si>
    <t>Personnes</t>
  </si>
  <si>
    <t>Cap/pers</t>
  </si>
  <si>
    <t>Capacité</t>
  </si>
  <si>
    <t>H début</t>
  </si>
  <si>
    <t>H fin</t>
  </si>
  <si>
    <t>Priorité</t>
  </si>
  <si>
    <t>Binaire</t>
  </si>
  <si>
    <t>Doux Delpierre</t>
  </si>
  <si>
    <t>Naturel Delpierre</t>
  </si>
  <si>
    <t>Min</t>
  </si>
  <si>
    <t>Heure fin journée</t>
  </si>
  <si>
    <t>Max</t>
  </si>
  <si>
    <t>Doux MDD</t>
  </si>
  <si>
    <t>Doux Métro</t>
  </si>
  <si>
    <t>Volume Epreville</t>
  </si>
  <si>
    <t xml:space="preserve">Doux St Léo </t>
  </si>
  <si>
    <t>Doux St Léo Auchan</t>
  </si>
  <si>
    <t>Doux St Léo MSC</t>
  </si>
  <si>
    <t>Personnes Disponible</t>
  </si>
  <si>
    <t>Naturel St Léo</t>
  </si>
  <si>
    <t>Naturel St Léo MSC</t>
  </si>
  <si>
    <t>Naturel MDD 5,6 à 7%</t>
  </si>
  <si>
    <t>Fin de journée</t>
  </si>
  <si>
    <t>Naturel MDD 7 à 9 %</t>
  </si>
  <si>
    <t>Allégés  en sel</t>
  </si>
  <si>
    <t>Injecteur 2</t>
  </si>
  <si>
    <t>Export</t>
  </si>
  <si>
    <t>Suspendu</t>
  </si>
  <si>
    <t>Maqueraux</t>
  </si>
  <si>
    <t>MQRX Poivre</t>
  </si>
  <si>
    <t>MQRX ST Léo Nature</t>
  </si>
  <si>
    <t>MQRX ST Léo Poivre</t>
  </si>
  <si>
    <t>FONCTION OBJ :</t>
  </si>
  <si>
    <t>Immersion</t>
  </si>
  <si>
    <t>Hareng Suspendu</t>
  </si>
  <si>
    <t>Injecteur 1</t>
  </si>
  <si>
    <t>Marque</t>
  </si>
  <si>
    <t>Poids</t>
  </si>
  <si>
    <t>Personne</t>
  </si>
  <si>
    <t xml:space="preserve">H début </t>
  </si>
  <si>
    <t xml:space="preserve">H fin </t>
  </si>
  <si>
    <t>Urgence</t>
  </si>
  <si>
    <t>5 personnes</t>
  </si>
  <si>
    <t>Urgence : Doux MDD</t>
  </si>
  <si>
    <t>Injecteur 2/Injecteur 1</t>
  </si>
</sst>
</file>

<file path=xl/styles.xml><?xml version="1.0" encoding="utf-8"?>
<styleSheet xmlns="http://schemas.openxmlformats.org/spreadsheetml/2006/main">
  <numFmts count="7">
    <numFmt numFmtId="164" formatCode="0&quot; kg/h&quot;"/>
    <numFmt numFmtId="165" formatCode="h:mm;@"/>
    <numFmt numFmtId="166" formatCode="#,##0.00,&quot;T&quot;"/>
    <numFmt numFmtId="167" formatCode="0.00&quot; h&quot;"/>
    <numFmt numFmtId="168" formatCode="General&quot; Personnes&quot;"/>
    <numFmt numFmtId="169" formatCode="General&quot; personnes&quot;"/>
    <numFmt numFmtId="170" formatCode="0&quot; kg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2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1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NumberFormat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/>
    </xf>
    <xf numFmtId="0" fontId="0" fillId="0" borderId="0" xfId="0" applyAlignment="1"/>
    <xf numFmtId="0" fontId="1" fillId="0" borderId="11" xfId="0" applyFont="1" applyBorder="1"/>
    <xf numFmtId="166" fontId="0" fillId="2" borderId="4" xfId="0" applyNumberFormat="1" applyFill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1" applyFill="1" applyBorder="1"/>
    <xf numFmtId="0" fontId="0" fillId="3" borderId="4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166" fontId="0" fillId="0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7" xfId="0" applyBorder="1"/>
    <xf numFmtId="0" fontId="1" fillId="0" borderId="16" xfId="0" applyFont="1" applyFill="1" applyBorder="1"/>
    <xf numFmtId="166" fontId="0" fillId="2" borderId="17" xfId="0" applyNumberFormat="1" applyFill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1" fillId="0" borderId="6" xfId="0" applyFont="1" applyBorder="1"/>
    <xf numFmtId="0" fontId="0" fillId="0" borderId="8" xfId="0" applyBorder="1"/>
    <xf numFmtId="0" fontId="0" fillId="0" borderId="12" xfId="0" applyBorder="1"/>
    <xf numFmtId="0" fontId="1" fillId="0" borderId="16" xfId="0" applyFont="1" applyBorder="1"/>
    <xf numFmtId="0" fontId="0" fillId="0" borderId="18" xfId="0" applyBorder="1"/>
    <xf numFmtId="0" fontId="1" fillId="0" borderId="4" xfId="0" applyFont="1" applyFill="1" applyBorder="1" applyAlignment="1">
      <alignment horizontal="center"/>
    </xf>
    <xf numFmtId="0" fontId="3" fillId="0" borderId="0" xfId="1" applyFont="1" applyBorder="1" applyProtection="1">
      <protection locked="0"/>
    </xf>
    <xf numFmtId="0" fontId="2" fillId="0" borderId="0" xfId="1" applyBorder="1"/>
    <xf numFmtId="0" fontId="1" fillId="0" borderId="0" xfId="0" applyFont="1" applyFill="1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165" fontId="0" fillId="0" borderId="4" xfId="0" applyNumberFormat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8" fontId="0" fillId="0" borderId="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69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/>
    <xf numFmtId="166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168" fontId="0" fillId="0" borderId="25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5" fontId="5" fillId="0" borderId="14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3" fillId="0" borderId="0" xfId="0" applyFont="1" applyBorder="1" applyProtection="1">
      <protection locked="0"/>
    </xf>
    <xf numFmtId="170" fontId="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170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0F070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0"/>
  <c:chart>
    <c:title>
      <c:tx>
        <c:rich>
          <a:bodyPr/>
          <a:lstStyle/>
          <a:p>
            <a:pPr>
              <a:defRPr/>
            </a:pPr>
            <a:r>
              <a:rPr lang="fr-FR"/>
              <a:t>Plannification</a:t>
            </a:r>
            <a:r>
              <a:rPr lang="fr-FR" baseline="0"/>
              <a:t> Injecteur 1</a:t>
            </a:r>
          </a:p>
        </c:rich>
      </c:tx>
      <c:layout/>
    </c:title>
    <c:plotArea>
      <c:layout/>
      <c:barChart>
        <c:barDir val="bar"/>
        <c:grouping val="stacked"/>
        <c:ser>
          <c:idx val="1"/>
          <c:order val="0"/>
          <c:tx>
            <c:strRef>
              <c:f>'Inj1'!$A$4:$B$4</c:f>
              <c:strCache>
                <c:ptCount val="1"/>
                <c:pt idx="0">
                  <c:v>Doux St Léo MSC 5 personnes</c:v>
                </c:pt>
              </c:strCache>
            </c:strRef>
          </c:tx>
          <c:cat>
            <c:strRef>
              <c:f>'Inj1'!$A$1:$I$1</c:f>
              <c:strCache>
                <c:ptCount val="1"/>
                <c:pt idx="0">
                  <c:v>Injecteur 1</c:v>
                </c:pt>
              </c:strCache>
            </c:strRef>
          </c:cat>
          <c:val>
            <c:numRef>
              <c:f>'Inj1'!$H$4</c:f>
              <c:numCache>
                <c:formatCode>h:mm;@</c:formatCode>
                <c:ptCount val="1"/>
                <c:pt idx="0">
                  <c:v>1.1574074074074075E-2</c:v>
                </c:pt>
              </c:numCache>
            </c:numRef>
          </c:val>
        </c:ser>
        <c:ser>
          <c:idx val="0"/>
          <c:order val="1"/>
          <c:tx>
            <c:strRef>
              <c:f>'Inj1'!$A$5:$B$5</c:f>
              <c:strCache>
                <c:ptCount val="1"/>
                <c:pt idx="0">
                  <c:v>Doux St Léo  4 personnes</c:v>
                </c:pt>
              </c:strCache>
            </c:strRef>
          </c:tx>
          <c:cat>
            <c:strRef>
              <c:f>'Inj1'!$A$1:$I$1</c:f>
              <c:strCache>
                <c:ptCount val="1"/>
                <c:pt idx="0">
                  <c:v>Injecteur 1</c:v>
                </c:pt>
              </c:strCache>
            </c:strRef>
          </c:cat>
          <c:val>
            <c:numRef>
              <c:f>'Inj1'!$H$5</c:f>
              <c:numCache>
                <c:formatCode>h:mm;@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'Inj1'!$A$6:$B$6</c:f>
              <c:strCache>
                <c:ptCount val="1"/>
                <c:pt idx="0">
                  <c:v>Doux St Léo Auchan 4 personnes</c:v>
                </c:pt>
              </c:strCache>
            </c:strRef>
          </c:tx>
          <c:cat>
            <c:strRef>
              <c:f>'Inj1'!$A$1:$I$1</c:f>
              <c:strCache>
                <c:ptCount val="1"/>
                <c:pt idx="0">
                  <c:v>Injecteur 1</c:v>
                </c:pt>
              </c:strCache>
            </c:strRef>
          </c:cat>
          <c:val>
            <c:numRef>
              <c:f>'Inj1'!$H$6</c:f>
            </c:numRef>
          </c:val>
        </c:ser>
        <c:ser>
          <c:idx val="3"/>
          <c:order val="3"/>
          <c:tx>
            <c:strRef>
              <c:f>'Inj1'!$A$7:$B$7</c:f>
              <c:strCache>
                <c:ptCount val="1"/>
                <c:pt idx="0">
                  <c:v>Naturel St Léo MSC 5 personnes</c:v>
                </c:pt>
              </c:strCache>
            </c:strRef>
          </c:tx>
          <c:cat>
            <c:strRef>
              <c:f>'Inj1'!$A$1:$I$1</c:f>
              <c:strCache>
                <c:ptCount val="1"/>
                <c:pt idx="0">
                  <c:v>Injecteur 1</c:v>
                </c:pt>
              </c:strCache>
            </c:strRef>
          </c:cat>
          <c:val>
            <c:numRef>
              <c:f>'Inj1'!$H$7</c:f>
              <c:numCache>
                <c:formatCode>h:mm;@</c:formatCode>
                <c:ptCount val="1"/>
                <c:pt idx="0">
                  <c:v>1.1574074074074266E-2</c:v>
                </c:pt>
              </c:numCache>
            </c:numRef>
          </c:val>
        </c:ser>
        <c:ser>
          <c:idx val="4"/>
          <c:order val="4"/>
          <c:tx>
            <c:strRef>
              <c:f>'Inj1'!$A$8:$B$8</c:f>
              <c:strCache>
                <c:ptCount val="1"/>
                <c:pt idx="0">
                  <c:v>Naturel St Léo 5 personnes</c:v>
                </c:pt>
              </c:strCache>
            </c:strRef>
          </c:tx>
          <c:cat>
            <c:strRef>
              <c:f>'Inj1'!$A$1:$I$1</c:f>
              <c:strCache>
                <c:ptCount val="1"/>
                <c:pt idx="0">
                  <c:v>Injecteur 1</c:v>
                </c:pt>
              </c:strCache>
            </c:strRef>
          </c:cat>
          <c:val>
            <c:numRef>
              <c:f>'Inj1'!$H$7</c:f>
              <c:numCache>
                <c:formatCode>h:mm;@</c:formatCode>
                <c:ptCount val="1"/>
                <c:pt idx="0">
                  <c:v>1.1574074074074266E-2</c:v>
                </c:pt>
              </c:numCache>
            </c:numRef>
          </c:val>
        </c:ser>
        <c:ser>
          <c:idx val="5"/>
          <c:order val="5"/>
          <c:tx>
            <c:strRef>
              <c:f>'Inj1'!$A$8:$B$8</c:f>
              <c:strCache>
                <c:ptCount val="1"/>
                <c:pt idx="0">
                  <c:v>Naturel St Léo 5 personnes</c:v>
                </c:pt>
              </c:strCache>
            </c:strRef>
          </c:tx>
          <c:cat>
            <c:strRef>
              <c:f>'Inj1'!$A$1:$I$1</c:f>
              <c:strCache>
                <c:ptCount val="1"/>
                <c:pt idx="0">
                  <c:v>Injecteur 1</c:v>
                </c:pt>
              </c:strCache>
            </c:strRef>
          </c:cat>
          <c:val>
            <c:numRef>
              <c:f>'Inj1'!$H$8</c:f>
              <c:numCache>
                <c:formatCode>h:mm;@</c:formatCode>
                <c:ptCount val="1"/>
                <c:pt idx="0">
                  <c:v>2.0833333333333332E-2</c:v>
                </c:pt>
              </c:numCache>
            </c:numRef>
          </c:val>
        </c:ser>
        <c:ser>
          <c:idx val="6"/>
          <c:order val="6"/>
          <c:tx>
            <c:strRef>
              <c:f>'Inj1'!$A$9:$B$9</c:f>
              <c:strCache>
                <c:ptCount val="1"/>
                <c:pt idx="0">
                  <c:v>Doux Delpierre 5 personnes</c:v>
                </c:pt>
              </c:strCache>
            </c:strRef>
          </c:tx>
          <c:cat>
            <c:strRef>
              <c:f>'Inj1'!$A$1:$I$1</c:f>
              <c:strCache>
                <c:ptCount val="1"/>
                <c:pt idx="0">
                  <c:v>Injecteur 1</c:v>
                </c:pt>
              </c:strCache>
            </c:strRef>
          </c:cat>
          <c:val>
            <c:numRef>
              <c:f>'Inj1'!$H$9</c:f>
              <c:numCache>
                <c:formatCode>h:mm;@</c:formatCode>
                <c:ptCount val="1"/>
                <c:pt idx="0">
                  <c:v>0.11574074074074074</c:v>
                </c:pt>
              </c:numCache>
            </c:numRef>
          </c:val>
        </c:ser>
        <c:ser>
          <c:idx val="7"/>
          <c:order val="7"/>
          <c:tx>
            <c:strRef>
              <c:f>'Inj1'!$A$10:$B$10</c:f>
              <c:strCache>
                <c:ptCount val="1"/>
                <c:pt idx="0">
                  <c:v>Naturel Delpierre 5 personnes</c:v>
                </c:pt>
              </c:strCache>
            </c:strRef>
          </c:tx>
          <c:cat>
            <c:strRef>
              <c:f>'Inj1'!$A$1:$I$1</c:f>
              <c:strCache>
                <c:ptCount val="1"/>
                <c:pt idx="0">
                  <c:v>Injecteur 1</c:v>
                </c:pt>
              </c:strCache>
            </c:strRef>
          </c:cat>
          <c:val>
            <c:numRef>
              <c:f>'Inj1'!$H$10</c:f>
              <c:numCache>
                <c:formatCode>h:mm;@</c:formatCode>
                <c:ptCount val="1"/>
                <c:pt idx="0">
                  <c:v>2.314814814814815E-2</c:v>
                </c:pt>
              </c:numCache>
            </c:numRef>
          </c:val>
        </c:ser>
        <c:ser>
          <c:idx val="8"/>
          <c:order val="8"/>
          <c:tx>
            <c:strRef>
              <c:f>'Inj1'!$A$11:$B$11</c:f>
              <c:strCache>
                <c:ptCount val="1"/>
                <c:pt idx="0">
                  <c:v>Doux MDD 5 personnes</c:v>
                </c:pt>
              </c:strCache>
            </c:strRef>
          </c:tx>
          <c:cat>
            <c:strRef>
              <c:f>'Inj1'!$A$1:$I$1</c:f>
              <c:strCache>
                <c:ptCount val="1"/>
                <c:pt idx="0">
                  <c:v>Injecteur 1</c:v>
                </c:pt>
              </c:strCache>
            </c:strRef>
          </c:cat>
          <c:val>
            <c:numRef>
              <c:f>'Inj1'!$H$11</c:f>
              <c:numCache>
                <c:formatCode>h:mm;@</c:formatCode>
                <c:ptCount val="1"/>
                <c:pt idx="0">
                  <c:v>0.34722222222222227</c:v>
                </c:pt>
              </c:numCache>
            </c:numRef>
          </c:val>
        </c:ser>
        <c:ser>
          <c:idx val="9"/>
          <c:order val="9"/>
          <c:tx>
            <c:strRef>
              <c:f>'Inj1'!$A$12:$B$12</c:f>
              <c:strCache>
                <c:ptCount val="1"/>
                <c:pt idx="0">
                  <c:v>Doux Métro 5 personnes</c:v>
                </c:pt>
              </c:strCache>
            </c:strRef>
          </c:tx>
          <c:cat>
            <c:strRef>
              <c:f>'Inj1'!$A$1:$I$1</c:f>
              <c:strCache>
                <c:ptCount val="1"/>
                <c:pt idx="0">
                  <c:v>Injecteur 1</c:v>
                </c:pt>
              </c:strCache>
            </c:strRef>
          </c:cat>
          <c:val>
            <c:numRef>
              <c:f>'Inj1'!$H$12</c:f>
              <c:numCache>
                <c:formatCode>h:mm;@</c:formatCode>
                <c:ptCount val="1"/>
                <c:pt idx="0">
                  <c:v>0</c:v>
                </c:pt>
              </c:numCache>
            </c:numRef>
          </c:val>
        </c:ser>
        <c:gapWidth val="75"/>
        <c:overlap val="100"/>
        <c:axId val="119897088"/>
        <c:axId val="119919360"/>
      </c:barChart>
      <c:catAx>
        <c:axId val="119897088"/>
        <c:scaling>
          <c:orientation val="minMax"/>
        </c:scaling>
        <c:axPos val="l"/>
        <c:majorTickMark val="none"/>
        <c:tickLblPos val="nextTo"/>
        <c:txPr>
          <a:bodyPr rot="-5400000" vert="horz"/>
          <a:lstStyle/>
          <a:p>
            <a:pPr>
              <a:defRPr sz="2000" b="1"/>
            </a:pPr>
            <a:endParaRPr lang="fr-FR"/>
          </a:p>
        </c:txPr>
        <c:crossAx val="119919360"/>
        <c:crosses val="autoZero"/>
        <c:auto val="1"/>
        <c:lblAlgn val="ctr"/>
        <c:lblOffset val="100"/>
      </c:catAx>
      <c:valAx>
        <c:axId val="119919360"/>
        <c:scaling>
          <c:orientation val="minMax"/>
        </c:scaling>
        <c:axPos val="b"/>
        <c:majorGridlines/>
        <c:numFmt formatCode="h:mm;@" sourceLinked="1"/>
        <c:majorTickMark val="none"/>
        <c:tickLblPos val="nextTo"/>
        <c:spPr>
          <a:ln w="9525">
            <a:noFill/>
          </a:ln>
        </c:spPr>
        <c:crossAx val="1198970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2400"/>
              <a:t>Plannification des Injecteurs</a:t>
            </a:r>
          </a:p>
        </c:rich>
      </c:tx>
      <c:layout>
        <c:manualLayout>
          <c:xMode val="edge"/>
          <c:yMode val="edge"/>
          <c:x val="0.35754851813252247"/>
          <c:y val="0"/>
        </c:manualLayout>
      </c:layout>
    </c:title>
    <c:plotArea>
      <c:layout>
        <c:manualLayout>
          <c:layoutTarget val="inner"/>
          <c:xMode val="edge"/>
          <c:yMode val="edge"/>
          <c:x val="8.1921618857195549E-3"/>
          <c:y val="0.10648557612199747"/>
          <c:w val="0.96794822037646544"/>
          <c:h val="0.7560590551550227"/>
        </c:manualLayout>
      </c:layout>
      <c:barChart>
        <c:barDir val="bar"/>
        <c:grouping val="stacked"/>
        <c:ser>
          <c:idx val="13"/>
          <c:order val="0"/>
          <c:tx>
            <c:strRef>
              <c:f>'Inj2'!$A$3</c:f>
              <c:strCache>
                <c:ptCount val="1"/>
                <c:pt idx="0">
                  <c:v>Urgence : Doux MDD</c:v>
                </c:pt>
              </c:strCache>
            </c:strRef>
          </c:tx>
          <c:dLbls>
            <c:delete val="1"/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('Inj2'!$H$3,'Inj2'!$H$17)</c:f>
              <c:numCache>
                <c:formatCode>h:mm;@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strRef>
              <c:f>'Inj2'!$A$4</c:f>
              <c:strCache>
                <c:ptCount val="1"/>
                <c:pt idx="0">
                  <c:v>Naturel MDD 7 à 9 %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('Inj2'!$H$4,'Inj2'!$H$29)</c:f>
              <c:numCache>
                <c:formatCode>General</c:formatCode>
                <c:ptCount val="2"/>
                <c:pt idx="0" formatCode="h:mm;@">
                  <c:v>1.3888888888888888E-2</c:v>
                </c:pt>
              </c:numCache>
            </c:numRef>
          </c:val>
        </c:ser>
        <c:ser>
          <c:idx val="1"/>
          <c:order val="2"/>
          <c:tx>
            <c:strRef>
              <c:f>'Inj2'!$A$5</c:f>
              <c:strCache>
                <c:ptCount val="1"/>
                <c:pt idx="0">
                  <c:v>Naturel MDD 5,6 à 7%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('Inj2'!$H$5,'Inj2'!$H$30)</c:f>
              <c:numCache>
                <c:formatCode>General</c:formatCode>
                <c:ptCount val="2"/>
                <c:pt idx="0" formatCode="h:mm;@">
                  <c:v>6.9444444444444448E-2</c:v>
                </c:pt>
              </c:numCache>
            </c:numRef>
          </c:val>
        </c:ser>
        <c:ser>
          <c:idx val="2"/>
          <c:order val="3"/>
          <c:tx>
            <c:strRef>
              <c:f>'Inj2'!$A$6</c:f>
              <c:strCache>
                <c:ptCount val="1"/>
                <c:pt idx="0">
                  <c:v>Doux St Léo </c:v>
                </c:pt>
              </c:strCache>
            </c:strRef>
          </c:tx>
          <c:dLbls>
            <c:dLbl>
              <c:idx val="0"/>
              <c:layout/>
              <c:spPr/>
              <c:txPr>
                <a:bodyPr rot="-5400000" vert="horz"/>
                <a:lstStyle/>
                <a:p>
                  <a:pPr>
                    <a:defRPr sz="1400"/>
                  </a:pPr>
                  <a:endParaRPr lang="fr-FR"/>
                </a:p>
              </c:txPr>
              <c:dLblPos val="ctr"/>
              <c:showVal val="1"/>
              <c:showSerName val="1"/>
              <c:separator> </c:separator>
            </c:dLbl>
            <c:dLbl>
              <c:idx val="1"/>
              <c:delete val="1"/>
            </c:dLbl>
            <c:dLblPos val="ctr"/>
            <c:showVal val="1"/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('Inj2'!$H$6,'Inj2'!$H$19)</c:f>
              <c:numCache>
                <c:formatCode>h:mm;@</c:formatCode>
                <c:ptCount val="2"/>
                <c:pt idx="0">
                  <c:v>6.9444444444444448E-2</c:v>
                </c:pt>
                <c:pt idx="1">
                  <c:v>0</c:v>
                </c:pt>
              </c:numCache>
            </c:numRef>
          </c:val>
        </c:ser>
        <c:ser>
          <c:idx val="3"/>
          <c:order val="4"/>
          <c:tx>
            <c:strRef>
              <c:f>'Inj2'!$A$7</c:f>
              <c:strCache>
                <c:ptCount val="1"/>
                <c:pt idx="0">
                  <c:v>Doux St Léo Auchan</c:v>
                </c:pt>
              </c:strCache>
            </c:strRef>
          </c:tx>
          <c:dLbls>
            <c:dLbl>
              <c:idx val="1"/>
              <c:layout>
                <c:manualLayout>
                  <c:x val="-1.3653603142865932E-3"/>
                  <c:y val="4.1791011387873802E-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dLblPos val="ctr"/>
              <c:showVal val="1"/>
              <c:showSerName val="1"/>
              <c:separator> </c:separator>
            </c:dLbl>
            <c:txPr>
              <a:bodyPr rot="-5400000" vert="horz"/>
              <a:lstStyle/>
              <a:p>
                <a:pPr>
                  <a:defRPr sz="1400">
                    <a:solidFill>
                      <a:srgbClr val="0F0701"/>
                    </a:solidFill>
                  </a:defRPr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('Inj2'!$H$7,'Inj2'!$H$21)</c:f>
              <c:numCache>
                <c:formatCode>h:mm;@</c:formatCode>
                <c:ptCount val="2"/>
                <c:pt idx="0">
                  <c:v>2.7777777777777776E-2</c:v>
                </c:pt>
                <c:pt idx="1">
                  <c:v>1.1574074074074266E-2</c:v>
                </c:pt>
              </c:numCache>
            </c:numRef>
          </c:val>
        </c:ser>
        <c:ser>
          <c:idx val="4"/>
          <c:order val="5"/>
          <c:tx>
            <c:strRef>
              <c:f>'Inj2'!$A$8</c:f>
              <c:strCache>
                <c:ptCount val="1"/>
                <c:pt idx="0">
                  <c:v>Doux St Léo MSC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layout>
                <c:manualLayout>
                  <c:x val="-1.3653603142865932E-3"/>
                  <c:y val="4.1784431939471721E-3"/>
                </c:manualLayout>
              </c:layout>
              <c:dLblPos val="ctr"/>
              <c:showVal val="1"/>
              <c:showSerName val="1"/>
              <c:separator> </c:separator>
            </c:dLbl>
            <c:txPr>
              <a:bodyPr rot="-5400000" vert="horz"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('Inj2'!$H$8,'Inj2'!$H$21)</c:f>
              <c:numCache>
                <c:formatCode>h:mm;@</c:formatCode>
                <c:ptCount val="2"/>
                <c:pt idx="0">
                  <c:v>0</c:v>
                </c:pt>
                <c:pt idx="1">
                  <c:v>1.1574074074074266E-2</c:v>
                </c:pt>
              </c:numCache>
            </c:numRef>
          </c:val>
        </c:ser>
        <c:ser>
          <c:idx val="5"/>
          <c:order val="6"/>
          <c:tx>
            <c:strRef>
              <c:f>'Inj2'!$A$9</c:f>
              <c:strCache>
                <c:ptCount val="1"/>
                <c:pt idx="0">
                  <c:v>Naturel St Léo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layout>
                <c:manualLayout>
                  <c:x val="-1.0750868616429869E-7"/>
                  <c:y val="2.0894683262886629E-3"/>
                </c:manualLayout>
              </c:layout>
              <c:dLblPos val="ctr"/>
              <c:showVal val="1"/>
              <c:showSerName val="1"/>
              <c:separator> </c:separator>
            </c:dLbl>
            <c:txPr>
              <a:bodyPr rot="-5400000" vert="horz"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('Inj2'!$H$9,'Inj2'!$H$22)</c:f>
              <c:numCache>
                <c:formatCode>h:mm;@</c:formatCode>
                <c:ptCount val="2"/>
                <c:pt idx="0">
                  <c:v>0</c:v>
                </c:pt>
                <c:pt idx="1">
                  <c:v>2.6041666666666668E-2</c:v>
                </c:pt>
              </c:numCache>
            </c:numRef>
          </c:val>
        </c:ser>
        <c:ser>
          <c:idx val="6"/>
          <c:order val="7"/>
          <c:tx>
            <c:strRef>
              <c:f>'Inj2'!$A$10</c:f>
              <c:strCache>
                <c:ptCount val="1"/>
                <c:pt idx="0">
                  <c:v>Naturel St Léo MSC</c:v>
                </c:pt>
              </c:strCache>
            </c:strRef>
          </c:tx>
          <c:dLbls>
            <c:dLbl>
              <c:idx val="0"/>
              <c:delete val="1"/>
            </c:dLbl>
            <c:txPr>
              <a:bodyPr rot="-5400000" vert="horz"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('Inj2'!$H$10,'Inj2'!$H$21)</c:f>
              <c:numCache>
                <c:formatCode>h:mm;@</c:formatCode>
                <c:ptCount val="2"/>
                <c:pt idx="0">
                  <c:v>0</c:v>
                </c:pt>
                <c:pt idx="1">
                  <c:v>1.1574074074074266E-2</c:v>
                </c:pt>
              </c:numCache>
            </c:numRef>
          </c:val>
        </c:ser>
        <c:ser>
          <c:idx val="7"/>
          <c:order val="8"/>
          <c:tx>
            <c:strRef>
              <c:f>'Inj2'!$A$23</c:f>
              <c:strCache>
                <c:ptCount val="1"/>
                <c:pt idx="0">
                  <c:v>Doux Delpierre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('Inj2'!$H$11,'Inj2'!$H$23)</c:f>
              <c:numCache>
                <c:formatCode>h:mm;@</c:formatCode>
                <c:ptCount val="2"/>
                <c:pt idx="0">
                  <c:v>0.1851851851851852</c:v>
                </c:pt>
                <c:pt idx="1">
                  <c:v>0.14467592592592593</c:v>
                </c:pt>
              </c:numCache>
            </c:numRef>
          </c:val>
        </c:ser>
        <c:ser>
          <c:idx val="8"/>
          <c:order val="9"/>
          <c:tx>
            <c:strRef>
              <c:f>'Inj2'!$A$12</c:f>
              <c:strCache>
                <c:ptCount val="1"/>
                <c:pt idx="0">
                  <c:v>Naturel Delpierre</c:v>
                </c:pt>
              </c:strCache>
            </c:strRef>
          </c:tx>
          <c:dLbls>
            <c:dLbl>
              <c:idx val="0"/>
              <c:delete val="1"/>
            </c:dLbl>
            <c:txPr>
              <a:bodyPr rot="-5400000" vert="horz"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('Inj2'!$H$12,'Inj2'!$H$24)</c:f>
              <c:numCache>
                <c:formatCode>h:mm;@</c:formatCode>
                <c:ptCount val="2"/>
                <c:pt idx="0">
                  <c:v>0</c:v>
                </c:pt>
                <c:pt idx="1">
                  <c:v>2.314814814814815E-2</c:v>
                </c:pt>
              </c:numCache>
            </c:numRef>
          </c:val>
        </c:ser>
        <c:ser>
          <c:idx val="9"/>
          <c:order val="10"/>
          <c:tx>
            <c:strRef>
              <c:f>'Inj2'!$A$13</c:f>
              <c:strCache>
                <c:ptCount val="1"/>
                <c:pt idx="0">
                  <c:v>Doux MDD</c:v>
                </c:pt>
              </c:strCache>
            </c:strRef>
          </c:tx>
          <c:dLbls>
            <c:dLbl>
              <c:idx val="0"/>
              <c:delete val="1"/>
            </c:dLbl>
            <c:numFmt formatCode="h:mm;@" sourceLinked="0"/>
            <c:txPr>
              <a:bodyPr rot="-5400000" vert="horz"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('Inj2'!$H$13,'Inj2'!$H$25)</c:f>
              <c:numCache>
                <c:formatCode>h:mm;@</c:formatCode>
                <c:ptCount val="2"/>
                <c:pt idx="0">
                  <c:v>0</c:v>
                </c:pt>
                <c:pt idx="1">
                  <c:v>0.34722222222222227</c:v>
                </c:pt>
              </c:numCache>
            </c:numRef>
          </c:val>
        </c:ser>
        <c:ser>
          <c:idx val="10"/>
          <c:order val="11"/>
          <c:tx>
            <c:strRef>
              <c:f>'Inj2'!$A$26</c:f>
              <c:strCache>
                <c:ptCount val="1"/>
                <c:pt idx="0">
                  <c:v>Doux Métro</c:v>
                </c:pt>
              </c:strCache>
            </c:strRef>
          </c:tx>
          <c:dLbls>
            <c:dLbl>
              <c:idx val="0"/>
              <c:delete val="1"/>
            </c:dLbl>
            <c:dLblPos val="ctr"/>
            <c:showVal val="1"/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'Inj2'!$H$14</c:f>
              <c:numCache>
                <c:formatCode>h:mm;@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2"/>
          <c:tx>
            <c:strRef>
              <c:f>'Inj2'!$A$15</c:f>
              <c:strCache>
                <c:ptCount val="1"/>
                <c:pt idx="0">
                  <c:v>Allégés  en sel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('Inj2'!$H$15,'Inj2'!$H$28)</c:f>
              <c:numCache>
                <c:formatCode>General</c:formatCode>
                <c:ptCount val="2"/>
                <c:pt idx="0" formatCode="h:mm;@">
                  <c:v>9.5238095238095233E-2</c:v>
                </c:pt>
              </c:numCache>
            </c:numRef>
          </c:val>
        </c:ser>
        <c:ser>
          <c:idx val="12"/>
          <c:order val="13"/>
          <c:tx>
            <c:strRef>
              <c:f>'Inj2'!$A$16</c:f>
              <c:strCache>
                <c:ptCount val="1"/>
                <c:pt idx="0">
                  <c:v>Export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Val val="1"/>
            <c:showSerName val="1"/>
            <c:separator> </c:separator>
          </c:dLbls>
          <c:cat>
            <c:strLit>
              <c:ptCount val="2"/>
              <c:pt idx="0">
                <c:v>Injecteur 2</c:v>
              </c:pt>
              <c:pt idx="1">
                <c:v>Injecteur 1</c:v>
              </c:pt>
            </c:strLit>
          </c:cat>
          <c:val>
            <c:numRef>
              <c:f>('Inj2'!$H$16,'Inj2'!$H$27)</c:f>
              <c:numCache>
                <c:formatCode>General</c:formatCode>
                <c:ptCount val="2"/>
                <c:pt idx="0" formatCode="h:mm;@">
                  <c:v>5.9523809523809527E-2</c:v>
                </c:pt>
              </c:numCache>
            </c:numRef>
          </c:val>
        </c:ser>
        <c:dLbls>
          <c:showVal val="1"/>
        </c:dLbls>
        <c:gapWidth val="20"/>
        <c:overlap val="100"/>
        <c:axId val="127440384"/>
        <c:axId val="127441920"/>
      </c:barChart>
      <c:catAx>
        <c:axId val="127440384"/>
        <c:scaling>
          <c:orientation val="maxMin"/>
        </c:scaling>
        <c:axPos val="l"/>
        <c:tickLblPos val="nextTo"/>
        <c:txPr>
          <a:bodyPr rot="-5400000" vert="horz"/>
          <a:lstStyle/>
          <a:p>
            <a:pPr>
              <a:defRPr sz="1800" b="1">
                <a:solidFill>
                  <a:schemeClr val="tx1"/>
                </a:solidFill>
              </a:defRPr>
            </a:pPr>
            <a:endParaRPr lang="fr-FR"/>
          </a:p>
        </c:txPr>
        <c:crossAx val="127441920"/>
        <c:crossesAt val="0"/>
        <c:auto val="1"/>
        <c:lblAlgn val="ctr"/>
        <c:lblOffset val="100"/>
        <c:tickLblSkip val="10"/>
      </c:catAx>
      <c:valAx>
        <c:axId val="127441920"/>
        <c:scaling>
          <c:orientation val="minMax"/>
          <c:max val="0.6000000000000002"/>
        </c:scaling>
        <c:axPos val="t"/>
        <c:majorGridlines/>
        <c:numFmt formatCode="h:mm;@" sourceLinked="0"/>
        <c:majorTickMark val="none"/>
        <c:tickLblPos val="nextTo"/>
        <c:spPr>
          <a:ln w="9525">
            <a:noFill/>
          </a:ln>
        </c:spPr>
        <c:txPr>
          <a:bodyPr rot="0"/>
          <a:lstStyle/>
          <a:p>
            <a:pPr>
              <a:defRPr/>
            </a:pPr>
            <a:endParaRPr lang="fr-FR"/>
          </a:p>
        </c:txPr>
        <c:crossAx val="12744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457442149038482E-2"/>
          <c:y val="0.86474150909847303"/>
          <c:w val="0.82962356693609063"/>
          <c:h val="0.12481361656323503"/>
        </c:manualLayout>
      </c:layout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12</xdr:row>
      <xdr:rowOff>180976</xdr:rowOff>
    </xdr:from>
    <xdr:to>
      <xdr:col>8</xdr:col>
      <xdr:colOff>409575</xdr:colOff>
      <xdr:row>29</xdr:row>
      <xdr:rowOff>133350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352" y="0"/>
    <xdr:ext cx="9301574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0.00296</cdr:x>
      <cdr:y>0.56741</cdr:y>
    </cdr:from>
    <cdr:to>
      <cdr:x>0.04586</cdr:x>
      <cdr:y>0.75902</cdr:y>
    </cdr:to>
    <cdr:sp macro="" textlink="">
      <cdr:nvSpPr>
        <cdr:cNvPr id="3" name="ZoneTexte 2"/>
        <cdr:cNvSpPr txBox="1"/>
      </cdr:nvSpPr>
      <cdr:spPr>
        <a:xfrm xmlns:a="http://schemas.openxmlformats.org/drawingml/2006/main" rot="16200000">
          <a:off x="-355361" y="3832523"/>
          <a:ext cx="1164882" cy="399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800" b="1"/>
            <a:t>Injecteur 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nifInjectionHare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  <sheetName val="Plannif"/>
      <sheetName val="Inj1"/>
      <sheetName val="Inj2"/>
    </sheetNames>
    <sheetDataSet>
      <sheetData sheetId="0"/>
      <sheetData sheetId="1">
        <row r="2">
          <cell r="A2" t="str">
            <v>maq poivre</v>
          </cell>
          <cell r="D2">
            <v>0</v>
          </cell>
        </row>
        <row r="3">
          <cell r="A3" t="str">
            <v>Maq Nature St Léonard</v>
          </cell>
          <cell r="D3">
            <v>0</v>
          </cell>
        </row>
        <row r="4">
          <cell r="A4" t="str">
            <v>Maq poivre St Léonard</v>
          </cell>
          <cell r="D4">
            <v>0</v>
          </cell>
        </row>
        <row r="5">
          <cell r="A5" t="str">
            <v>HG ALLEGE EN SEL</v>
          </cell>
          <cell r="D5">
            <v>0</v>
          </cell>
        </row>
        <row r="6">
          <cell r="A6" t="str">
            <v>HG Doux Delp</v>
          </cell>
          <cell r="C6" t="str">
            <v>Urgent2</v>
          </cell>
          <cell r="D6">
            <v>800</v>
          </cell>
        </row>
        <row r="7">
          <cell r="A7" t="str">
            <v>HG Doux Delp H0244 Leader Price</v>
          </cell>
          <cell r="D7">
            <v>0</v>
          </cell>
        </row>
        <row r="8">
          <cell r="A8" t="str">
            <v>HG Doux MDD</v>
          </cell>
          <cell r="C8" t="str">
            <v>Urgent1</v>
          </cell>
          <cell r="D8">
            <v>800</v>
          </cell>
        </row>
        <row r="9">
          <cell r="A9" t="str">
            <v>HG Doux MDD DLG</v>
          </cell>
          <cell r="D9">
            <v>0</v>
          </cell>
        </row>
        <row r="10">
          <cell r="A10" t="str">
            <v>HG Doux Métro</v>
          </cell>
          <cell r="D10">
            <v>0</v>
          </cell>
        </row>
        <row r="11">
          <cell r="A11" t="str">
            <v>HG Naturel MDD 5,6 à 7%</v>
          </cell>
          <cell r="D11">
            <v>0</v>
          </cell>
        </row>
        <row r="12">
          <cell r="A12" t="str">
            <v>HG Naturel 7,9% (Casino/G jury)</v>
          </cell>
          <cell r="D12">
            <v>0</v>
          </cell>
        </row>
        <row r="13">
          <cell r="A13" t="str">
            <v>Hareng St Leo fumé doux</v>
          </cell>
          <cell r="D13">
            <v>0</v>
          </cell>
        </row>
        <row r="14">
          <cell r="A14" t="str">
            <v>Hareng St Léo doux Auchan</v>
          </cell>
          <cell r="D14">
            <v>0</v>
          </cell>
        </row>
        <row r="15">
          <cell r="A15" t="str">
            <v>Hareng St Leo fumé MSC</v>
          </cell>
          <cell r="D15">
            <v>0</v>
          </cell>
        </row>
        <row r="16">
          <cell r="A16" t="str">
            <v>Hareng St Leo fumé naturel</v>
          </cell>
          <cell r="D16">
            <v>0</v>
          </cell>
        </row>
        <row r="17">
          <cell r="A17" t="str">
            <v>Hareng St Leo fumé MSC naturel</v>
          </cell>
          <cell r="D17">
            <v>0</v>
          </cell>
        </row>
        <row r="18">
          <cell r="A18" t="str">
            <v>Hareng St Leo fumé export</v>
          </cell>
          <cell r="D18">
            <v>0</v>
          </cell>
        </row>
        <row r="19">
          <cell r="A19" t="str">
            <v>Hareng St Leo fumé suspendu</v>
          </cell>
          <cell r="D19">
            <v>0</v>
          </cell>
        </row>
      </sheetData>
      <sheetData sheetId="2"/>
      <sheetData sheetId="3">
        <row r="4">
          <cell r="A4" t="str">
            <v>Doux Delpierre</v>
          </cell>
          <cell r="B4">
            <v>6000</v>
          </cell>
        </row>
        <row r="5">
          <cell r="A5" t="str">
            <v>Naturel Delpierre</v>
          </cell>
          <cell r="B5">
            <v>0</v>
          </cell>
        </row>
        <row r="6">
          <cell r="A6" t="str">
            <v>Doux MDD</v>
          </cell>
          <cell r="B6">
            <v>5800</v>
          </cell>
        </row>
        <row r="7">
          <cell r="A7" t="str">
            <v>Doux Métro</v>
          </cell>
          <cell r="B7">
            <v>0</v>
          </cell>
        </row>
        <row r="8">
          <cell r="A8" t="str">
            <v xml:space="preserve">Doux St Léo </v>
          </cell>
          <cell r="B8">
            <v>0</v>
          </cell>
        </row>
        <row r="9">
          <cell r="A9" t="str">
            <v>Doux St Léo Auchan</v>
          </cell>
          <cell r="B9">
            <v>0</v>
          </cell>
        </row>
        <row r="10">
          <cell r="A10" t="str">
            <v>Doux St Léo MSC</v>
          </cell>
          <cell r="B10">
            <v>500.00000000235576</v>
          </cell>
        </row>
        <row r="11">
          <cell r="A11" t="str">
            <v>Naturel St Léo</v>
          </cell>
          <cell r="B11">
            <v>0</v>
          </cell>
        </row>
        <row r="12">
          <cell r="A12" t="str">
            <v>Naturel St Léo MSC</v>
          </cell>
          <cell r="B12">
            <v>6.9508707006127801E-4</v>
          </cell>
        </row>
        <row r="17">
          <cell r="A17" t="str">
            <v>Doux Delpierre</v>
          </cell>
          <cell r="B17">
            <v>0</v>
          </cell>
        </row>
        <row r="18">
          <cell r="A18" t="str">
            <v>Naturel Delpierre</v>
          </cell>
          <cell r="B18">
            <v>0</v>
          </cell>
        </row>
        <row r="19">
          <cell r="A19" t="str">
            <v>Doux MDD</v>
          </cell>
          <cell r="B19">
            <v>0</v>
          </cell>
        </row>
        <row r="20">
          <cell r="A20" t="str">
            <v>Doux Métro</v>
          </cell>
          <cell r="B20">
            <v>1900</v>
          </cell>
        </row>
        <row r="21">
          <cell r="A21" t="str">
            <v xml:space="preserve">Doux St Léo </v>
          </cell>
          <cell r="B21">
            <v>2000</v>
          </cell>
        </row>
        <row r="22">
          <cell r="A22" t="str">
            <v>Doux St Léo Auchan</v>
          </cell>
          <cell r="B22">
            <v>500</v>
          </cell>
        </row>
        <row r="23">
          <cell r="A23" t="str">
            <v>Doux St Léo MSC</v>
          </cell>
          <cell r="B23">
            <v>0</v>
          </cell>
        </row>
        <row r="24">
          <cell r="A24" t="str">
            <v>Naturel St Léo</v>
          </cell>
          <cell r="B24">
            <v>0</v>
          </cell>
        </row>
        <row r="25">
          <cell r="A25" t="str">
            <v>Naturel St Léo MSC</v>
          </cell>
          <cell r="B25">
            <v>0</v>
          </cell>
        </row>
        <row r="26">
          <cell r="A26" t="str">
            <v>Naturel MDD 5,6 à 7%</v>
          </cell>
          <cell r="B26">
            <v>1000</v>
          </cell>
        </row>
        <row r="27">
          <cell r="A27" t="str">
            <v>Naturel MDD 7 à 9 %</v>
          </cell>
          <cell r="B27">
            <v>0</v>
          </cell>
        </row>
        <row r="28">
          <cell r="A28" t="str">
            <v>Allégés  en sel</v>
          </cell>
          <cell r="B28">
            <v>2000</v>
          </cell>
        </row>
        <row r="29">
          <cell r="A29" t="str">
            <v>Export</v>
          </cell>
          <cell r="B29">
            <v>1000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4"/>
  <sheetViews>
    <sheetView zoomScale="70" zoomScaleNormal="70" workbookViewId="0">
      <selection activeCell="J20" sqref="J20"/>
    </sheetView>
  </sheetViews>
  <sheetFormatPr baseColWidth="10" defaultRowHeight="15"/>
  <cols>
    <col min="1" max="1" width="21.7109375" bestFit="1" customWidth="1"/>
    <col min="3" max="3" width="12.42578125" customWidth="1"/>
    <col min="4" max="4" width="11.28515625" customWidth="1"/>
    <col min="6" max="6" width="11.5703125" customWidth="1"/>
    <col min="9" max="14" width="11.42578125" customWidth="1"/>
    <col min="15" max="15" width="13" bestFit="1" customWidth="1"/>
    <col min="16" max="16" width="11.5703125" customWidth="1"/>
    <col min="17" max="18" width="11.42578125" customWidth="1"/>
    <col min="19" max="19" width="26" customWidth="1"/>
    <col min="20" max="21" width="11.5703125" customWidth="1"/>
    <col min="22" max="22" width="11.42578125" customWidth="1"/>
    <col min="23" max="23" width="26.7109375" bestFit="1" customWidth="1"/>
  </cols>
  <sheetData>
    <row r="1" spans="1:23" ht="15.75" thickBot="1">
      <c r="N1" s="1"/>
      <c r="O1" s="1"/>
      <c r="P1" s="2"/>
      <c r="Q1" s="2"/>
      <c r="R1" s="1"/>
      <c r="S1" s="109" t="s">
        <v>0</v>
      </c>
      <c r="T1" s="110"/>
      <c r="U1" s="111"/>
      <c r="V1" s="3"/>
    </row>
    <row r="2" spans="1:23" ht="15.75" thickBo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4"/>
      <c r="L2" s="5"/>
      <c r="M2" s="5"/>
      <c r="O2" s="6" t="s">
        <v>2</v>
      </c>
      <c r="P2" s="7" t="s">
        <v>3</v>
      </c>
      <c r="Q2" s="8"/>
      <c r="S2" s="9"/>
      <c r="T2" s="10" t="s">
        <v>4</v>
      </c>
      <c r="U2" s="11"/>
      <c r="V2" s="3"/>
      <c r="W2" s="12" t="s">
        <v>5</v>
      </c>
    </row>
    <row r="3" spans="1:23" ht="15.75" thickBot="1">
      <c r="A3" s="13"/>
      <c r="B3" s="14" t="s">
        <v>4</v>
      </c>
      <c r="C3" s="14" t="s">
        <v>6</v>
      </c>
      <c r="D3" s="14" t="s">
        <v>7</v>
      </c>
      <c r="E3" s="14" t="s">
        <v>8</v>
      </c>
      <c r="F3" s="14" t="s">
        <v>3</v>
      </c>
      <c r="G3" s="14" t="s">
        <v>9</v>
      </c>
      <c r="H3" s="14" t="s">
        <v>10</v>
      </c>
      <c r="I3" s="15" t="s">
        <v>11</v>
      </c>
      <c r="J3" s="16"/>
      <c r="K3" s="12" t="s">
        <v>12</v>
      </c>
      <c r="L3" s="15"/>
      <c r="M3" s="16"/>
      <c r="O3" s="17">
        <f>COUNTIF(B4:B12,"&lt;&gt;0")-1</f>
        <v>5</v>
      </c>
      <c r="P3" s="18">
        <f>O3*(10/60)/24</f>
        <v>3.4722222222222217E-2</v>
      </c>
      <c r="Q3" s="19"/>
      <c r="S3" s="20" t="s">
        <v>13</v>
      </c>
      <c r="T3" s="21">
        <v>6500</v>
      </c>
      <c r="U3" s="22">
        <f>B17+B4</f>
        <v>6500</v>
      </c>
      <c r="V3" s="3"/>
      <c r="W3" s="23">
        <f>T3+SUM(T7:T11)+T15</f>
        <v>10550</v>
      </c>
    </row>
    <row r="4" spans="1:23" ht="15.75" thickBot="1">
      <c r="A4" s="13" t="s">
        <v>13</v>
      </c>
      <c r="B4" s="24">
        <v>2500</v>
      </c>
      <c r="C4" s="25">
        <v>5</v>
      </c>
      <c r="D4" s="15">
        <v>180</v>
      </c>
      <c r="E4" s="14">
        <f>D4*C4</f>
        <v>900</v>
      </c>
      <c r="F4" s="26">
        <f>IF(B4=0,0,(B4/E4))</f>
        <v>2.7777777777777777</v>
      </c>
      <c r="G4" s="26">
        <f>(H4-F4)</f>
        <v>6.6665999999999999</v>
      </c>
      <c r="H4" s="26">
        <f>(6.6666)+F4</f>
        <v>9.4443777777777775</v>
      </c>
      <c r="I4" s="14">
        <v>2</v>
      </c>
      <c r="J4" s="27"/>
      <c r="K4" s="25">
        <v>1</v>
      </c>
      <c r="L4" s="15">
        <f>K4*$L$14</f>
        <v>10000</v>
      </c>
      <c r="M4" s="16"/>
      <c r="O4" s="27"/>
      <c r="P4" s="28"/>
      <c r="Q4" s="28"/>
      <c r="S4" s="20" t="s">
        <v>14</v>
      </c>
      <c r="T4" s="21">
        <v>500</v>
      </c>
      <c r="U4" s="22">
        <f t="shared" ref="U4:U11" si="0">B18+B5</f>
        <v>500</v>
      </c>
      <c r="V4" s="29"/>
    </row>
    <row r="5" spans="1:23">
      <c r="A5" s="13" t="s">
        <v>14</v>
      </c>
      <c r="B5" s="24">
        <v>500</v>
      </c>
      <c r="C5" s="25">
        <v>5</v>
      </c>
      <c r="D5" s="15">
        <v>180</v>
      </c>
      <c r="E5" s="14">
        <f t="shared" ref="E5:E12" si="1">D5*C5</f>
        <v>900</v>
      </c>
      <c r="F5" s="26">
        <f t="shared" ref="F5:F12" si="2">IF(B5=0,0,(B5/E5))</f>
        <v>0.55555555555555558</v>
      </c>
      <c r="G5" s="26">
        <f t="shared" ref="G5:G12" si="3">(H5-F5)</f>
        <v>9.4443777777777775</v>
      </c>
      <c r="H5" s="26">
        <f>H4+F5</f>
        <v>9.9999333333333329</v>
      </c>
      <c r="I5" s="14">
        <v>3</v>
      </c>
      <c r="J5" s="27"/>
      <c r="K5" s="30">
        <v>1</v>
      </c>
      <c r="L5" s="15">
        <f t="shared" ref="L5:L12" si="4">K5*$L$14</f>
        <v>10000</v>
      </c>
      <c r="M5" s="16"/>
      <c r="N5" s="31" t="s">
        <v>15</v>
      </c>
      <c r="O5" s="113" t="s">
        <v>16</v>
      </c>
      <c r="P5" s="113"/>
      <c r="Q5" s="32" t="s">
        <v>17</v>
      </c>
      <c r="S5" s="20" t="s">
        <v>18</v>
      </c>
      <c r="T5" s="21">
        <v>7500</v>
      </c>
      <c r="U5" s="22">
        <f t="shared" si="0"/>
        <v>7500</v>
      </c>
      <c r="V5" s="29"/>
    </row>
    <row r="6" spans="1:23" ht="15.75" thickBot="1">
      <c r="A6" s="13" t="s">
        <v>18</v>
      </c>
      <c r="B6" s="24">
        <v>7500</v>
      </c>
      <c r="C6" s="25">
        <v>5</v>
      </c>
      <c r="D6" s="15">
        <v>180</v>
      </c>
      <c r="E6" s="14">
        <f t="shared" si="1"/>
        <v>900</v>
      </c>
      <c r="F6" s="26">
        <f t="shared" si="2"/>
        <v>8.3333333333333339</v>
      </c>
      <c r="G6" s="26">
        <f t="shared" si="3"/>
        <v>9.9999333333333329</v>
      </c>
      <c r="H6" s="26">
        <f t="shared" ref="H6:H12" si="5">H5+F6</f>
        <v>18.333266666666667</v>
      </c>
      <c r="I6" s="14">
        <v>3</v>
      </c>
      <c r="J6" s="27"/>
      <c r="K6" s="25">
        <v>1</v>
      </c>
      <c r="L6" s="15">
        <f t="shared" si="4"/>
        <v>10000</v>
      </c>
      <c r="M6" s="16"/>
      <c r="N6" s="33">
        <f>O6-0.25</f>
        <v>19.97215555555556</v>
      </c>
      <c r="O6" s="105">
        <f>H12+K14</f>
        <v>20.22215555555556</v>
      </c>
      <c r="P6" s="105"/>
      <c r="Q6" s="34">
        <f>O6+0.25</f>
        <v>20.47215555555556</v>
      </c>
      <c r="S6" s="20" t="s">
        <v>19</v>
      </c>
      <c r="T6" s="21">
        <v>0</v>
      </c>
      <c r="U6" s="22">
        <f t="shared" si="0"/>
        <v>0</v>
      </c>
      <c r="V6" s="3"/>
      <c r="W6" s="12" t="s">
        <v>20</v>
      </c>
    </row>
    <row r="7" spans="1:23">
      <c r="A7" s="13" t="s">
        <v>19</v>
      </c>
      <c r="B7" s="24">
        <v>0</v>
      </c>
      <c r="C7" s="25">
        <v>5</v>
      </c>
      <c r="D7" s="15">
        <v>140</v>
      </c>
      <c r="E7" s="14">
        <f t="shared" si="1"/>
        <v>700</v>
      </c>
      <c r="F7" s="26">
        <f t="shared" si="2"/>
        <v>0</v>
      </c>
      <c r="G7" s="26">
        <f t="shared" si="3"/>
        <v>18.333266666666667</v>
      </c>
      <c r="H7" s="26">
        <f t="shared" si="5"/>
        <v>18.333266666666667</v>
      </c>
      <c r="I7" s="14">
        <v>3</v>
      </c>
      <c r="J7" s="27"/>
      <c r="K7" s="25">
        <v>0</v>
      </c>
      <c r="L7" s="15">
        <f t="shared" si="4"/>
        <v>0</v>
      </c>
      <c r="M7" s="16"/>
      <c r="O7" s="35"/>
      <c r="P7" s="19"/>
      <c r="Q7" s="19"/>
      <c r="S7" s="20" t="s">
        <v>21</v>
      </c>
      <c r="T7" s="21">
        <v>1500</v>
      </c>
      <c r="U7" s="22">
        <f t="shared" si="0"/>
        <v>1500</v>
      </c>
      <c r="W7" s="13"/>
    </row>
    <row r="8" spans="1:23">
      <c r="A8" s="13" t="s">
        <v>21</v>
      </c>
      <c r="B8" s="24">
        <v>0</v>
      </c>
      <c r="C8" s="25">
        <v>4</v>
      </c>
      <c r="D8" s="15">
        <v>180</v>
      </c>
      <c r="E8" s="14">
        <f t="shared" si="1"/>
        <v>720</v>
      </c>
      <c r="F8" s="26">
        <f t="shared" si="2"/>
        <v>0</v>
      </c>
      <c r="G8" s="26">
        <f t="shared" si="3"/>
        <v>18.333266666666667</v>
      </c>
      <c r="H8" s="26">
        <f t="shared" si="5"/>
        <v>18.333266666666667</v>
      </c>
      <c r="I8" s="14">
        <v>1</v>
      </c>
      <c r="J8" s="27"/>
      <c r="K8" s="25">
        <v>0</v>
      </c>
      <c r="L8" s="15">
        <f t="shared" si="4"/>
        <v>0</v>
      </c>
      <c r="M8" s="16"/>
      <c r="O8" s="35"/>
      <c r="P8" s="19"/>
      <c r="Q8" s="19"/>
      <c r="S8" s="20" t="s">
        <v>22</v>
      </c>
      <c r="T8" s="21">
        <v>600</v>
      </c>
      <c r="U8" s="22">
        <f t="shared" si="0"/>
        <v>600</v>
      </c>
    </row>
    <row r="9" spans="1:23">
      <c r="A9" s="13" t="s">
        <v>22</v>
      </c>
      <c r="B9" s="24">
        <v>0</v>
      </c>
      <c r="C9" s="25">
        <v>4</v>
      </c>
      <c r="D9" s="15">
        <v>180</v>
      </c>
      <c r="E9" s="14">
        <f t="shared" si="1"/>
        <v>720</v>
      </c>
      <c r="F9" s="26">
        <f t="shared" si="2"/>
        <v>0</v>
      </c>
      <c r="G9" s="26">
        <f t="shared" si="3"/>
        <v>18.333266666666667</v>
      </c>
      <c r="H9" s="26">
        <f t="shared" si="5"/>
        <v>18.333266666666667</v>
      </c>
      <c r="I9" s="14">
        <v>1</v>
      </c>
      <c r="J9" s="27"/>
      <c r="K9" s="25">
        <v>0</v>
      </c>
      <c r="L9" s="15">
        <f t="shared" si="4"/>
        <v>0</v>
      </c>
      <c r="M9" s="16"/>
      <c r="O9" s="35"/>
      <c r="P9" s="19"/>
      <c r="Q9" s="19"/>
      <c r="S9" s="20" t="s">
        <v>23</v>
      </c>
      <c r="T9" s="21">
        <v>250</v>
      </c>
      <c r="U9" s="22">
        <f t="shared" si="0"/>
        <v>250</v>
      </c>
      <c r="W9" s="12" t="s">
        <v>24</v>
      </c>
    </row>
    <row r="10" spans="1:23">
      <c r="A10" s="13" t="s">
        <v>23</v>
      </c>
      <c r="B10" s="24">
        <v>250</v>
      </c>
      <c r="C10" s="25">
        <v>5</v>
      </c>
      <c r="D10" s="15">
        <v>180</v>
      </c>
      <c r="E10" s="14">
        <f t="shared" si="1"/>
        <v>900</v>
      </c>
      <c r="F10" s="26">
        <f t="shared" si="2"/>
        <v>0.27777777777777779</v>
      </c>
      <c r="G10" s="26">
        <f t="shared" si="3"/>
        <v>18.333266666666667</v>
      </c>
      <c r="H10" s="26">
        <f t="shared" si="5"/>
        <v>18.611044444444445</v>
      </c>
      <c r="I10" s="14">
        <v>1</v>
      </c>
      <c r="J10" s="27"/>
      <c r="K10" s="25">
        <v>1</v>
      </c>
      <c r="L10" s="15">
        <f t="shared" si="4"/>
        <v>10000</v>
      </c>
      <c r="M10" s="16"/>
      <c r="O10" s="35"/>
      <c r="P10" s="19"/>
      <c r="Q10" s="19"/>
      <c r="S10" s="20" t="s">
        <v>25</v>
      </c>
      <c r="T10" s="21">
        <v>450</v>
      </c>
      <c r="U10" s="22">
        <f t="shared" si="0"/>
        <v>450</v>
      </c>
      <c r="W10" s="14">
        <v>13</v>
      </c>
    </row>
    <row r="11" spans="1:23">
      <c r="A11" s="13" t="s">
        <v>25</v>
      </c>
      <c r="B11" s="24">
        <v>450</v>
      </c>
      <c r="C11" s="25">
        <v>5</v>
      </c>
      <c r="D11" s="15">
        <v>180</v>
      </c>
      <c r="E11" s="14">
        <f t="shared" si="1"/>
        <v>900</v>
      </c>
      <c r="F11" s="26">
        <f t="shared" si="2"/>
        <v>0.5</v>
      </c>
      <c r="G11" s="26">
        <f t="shared" si="3"/>
        <v>18.611044444444445</v>
      </c>
      <c r="H11" s="26">
        <f t="shared" si="5"/>
        <v>19.111044444444445</v>
      </c>
      <c r="I11" s="14">
        <v>1</v>
      </c>
      <c r="J11" s="27"/>
      <c r="K11" s="25">
        <v>1</v>
      </c>
      <c r="L11" s="15">
        <f t="shared" si="4"/>
        <v>10000</v>
      </c>
      <c r="M11" s="16"/>
      <c r="O11" s="35"/>
      <c r="P11" s="19"/>
      <c r="Q11" s="19"/>
      <c r="S11" s="20" t="s">
        <v>26</v>
      </c>
      <c r="T11" s="21">
        <v>250</v>
      </c>
      <c r="U11" s="22">
        <f t="shared" si="0"/>
        <v>250.00000000000415</v>
      </c>
    </row>
    <row r="12" spans="1:23">
      <c r="A12" s="13" t="s">
        <v>26</v>
      </c>
      <c r="B12" s="24">
        <v>250.00000000000415</v>
      </c>
      <c r="C12" s="25">
        <v>5</v>
      </c>
      <c r="D12" s="15">
        <v>180</v>
      </c>
      <c r="E12" s="14">
        <f t="shared" si="1"/>
        <v>900</v>
      </c>
      <c r="F12" s="26">
        <f t="shared" si="2"/>
        <v>0.2777777777777824</v>
      </c>
      <c r="G12" s="26">
        <f t="shared" si="3"/>
        <v>19.111044444444445</v>
      </c>
      <c r="H12" s="26">
        <f t="shared" si="5"/>
        <v>19.388822222222228</v>
      </c>
      <c r="I12" s="14">
        <v>1</v>
      </c>
      <c r="J12" s="27"/>
      <c r="K12" s="25">
        <v>1</v>
      </c>
      <c r="L12" s="15">
        <f t="shared" si="4"/>
        <v>10000</v>
      </c>
      <c r="M12" s="16"/>
      <c r="O12" s="36"/>
      <c r="P12" s="5"/>
      <c r="Q12" s="37"/>
      <c r="S12" s="20" t="s">
        <v>27</v>
      </c>
      <c r="T12" s="21">
        <v>1500</v>
      </c>
      <c r="U12" s="22">
        <f>B26</f>
        <v>1500</v>
      </c>
      <c r="W12" s="38" t="s">
        <v>28</v>
      </c>
    </row>
    <row r="13" spans="1:23" ht="15.75" thickBot="1">
      <c r="A13" s="39"/>
      <c r="B13" s="40"/>
      <c r="C13" s="16"/>
      <c r="D13" s="16"/>
      <c r="E13" s="27"/>
      <c r="F13" s="41"/>
      <c r="G13" s="41"/>
      <c r="H13" s="41"/>
      <c r="I13" s="27"/>
      <c r="J13" s="27"/>
      <c r="K13" s="16"/>
      <c r="L13" s="16"/>
      <c r="M13" s="16"/>
      <c r="O13" s="36"/>
      <c r="P13" s="5"/>
      <c r="Q13" s="37"/>
      <c r="S13" s="20" t="s">
        <v>29</v>
      </c>
      <c r="T13" s="21">
        <v>300</v>
      </c>
      <c r="U13" s="22">
        <f>B27</f>
        <v>300</v>
      </c>
      <c r="W13" s="42">
        <v>20.66</v>
      </c>
    </row>
    <row r="14" spans="1:23" ht="15.75" thickBot="1">
      <c r="K14" s="66">
        <f>(SUM(K3:K12)-1)*(10/60)</f>
        <v>0.83333333333333326</v>
      </c>
      <c r="L14" s="67">
        <f>10000</f>
        <v>10000</v>
      </c>
      <c r="S14" s="20" t="s">
        <v>30</v>
      </c>
      <c r="T14" s="21">
        <v>1600</v>
      </c>
      <c r="U14" s="22">
        <f>B28</f>
        <v>1600</v>
      </c>
    </row>
    <row r="15" spans="1:23">
      <c r="A15" s="106" t="s">
        <v>31</v>
      </c>
      <c r="B15" s="107"/>
      <c r="C15" s="107"/>
      <c r="D15" s="107"/>
      <c r="E15" s="107"/>
      <c r="F15" s="107"/>
      <c r="G15" s="107"/>
      <c r="H15" s="107"/>
      <c r="I15" s="108"/>
      <c r="J15" s="4"/>
      <c r="K15" s="4"/>
      <c r="L15" s="4"/>
      <c r="M15" s="4"/>
      <c r="O15" s="43" t="s">
        <v>2</v>
      </c>
      <c r="P15" s="44" t="s">
        <v>3</v>
      </c>
      <c r="S15" s="20" t="s">
        <v>32</v>
      </c>
      <c r="T15" s="21">
        <v>1000</v>
      </c>
      <c r="U15" s="22">
        <f>B29</f>
        <v>1000</v>
      </c>
    </row>
    <row r="16" spans="1:23" ht="15.75" thickBot="1">
      <c r="A16" s="45"/>
      <c r="B16" s="10" t="s">
        <v>4</v>
      </c>
      <c r="C16" s="10" t="s">
        <v>6</v>
      </c>
      <c r="D16" s="14" t="s">
        <v>7</v>
      </c>
      <c r="E16" s="10" t="s">
        <v>8</v>
      </c>
      <c r="F16" s="10" t="s">
        <v>3</v>
      </c>
      <c r="G16" s="10" t="s">
        <v>9</v>
      </c>
      <c r="H16" s="10" t="s">
        <v>10</v>
      </c>
      <c r="I16" s="15" t="s">
        <v>11</v>
      </c>
      <c r="J16" s="16"/>
      <c r="K16" s="12" t="s">
        <v>12</v>
      </c>
      <c r="L16" s="16"/>
      <c r="M16" s="16"/>
      <c r="O16" s="17">
        <f>COUNTIF(Volu,"&lt;&gt;0")-1</f>
        <v>6</v>
      </c>
      <c r="P16" s="18">
        <f>O16*(10/60)/24</f>
        <v>4.1666666666666664E-2</v>
      </c>
      <c r="Q16" s="8"/>
      <c r="S16" s="46" t="s">
        <v>33</v>
      </c>
      <c r="T16" s="47">
        <v>200</v>
      </c>
      <c r="U16" s="48">
        <f>B38</f>
        <v>200</v>
      </c>
    </row>
    <row r="17" spans="1:22" ht="15.75" thickBot="1">
      <c r="A17" s="13" t="s">
        <v>13</v>
      </c>
      <c r="B17" s="24">
        <v>4000</v>
      </c>
      <c r="C17" s="25">
        <v>5</v>
      </c>
      <c r="D17" s="15">
        <v>180</v>
      </c>
      <c r="E17" s="14">
        <f>D17*C17</f>
        <v>900</v>
      </c>
      <c r="F17" s="26">
        <f>IF(B17=0,0,(B17/E17))</f>
        <v>4.4444444444444446</v>
      </c>
      <c r="G17" s="26">
        <f>(H17-F17)</f>
        <v>6.6666000000000007</v>
      </c>
      <c r="H17" s="26">
        <f>(6.6666)+F17</f>
        <v>11.111044444444445</v>
      </c>
      <c r="I17" s="14">
        <v>4</v>
      </c>
      <c r="J17" s="27"/>
      <c r="K17" s="25">
        <v>1</v>
      </c>
      <c r="L17" s="14">
        <f>K17*$L$31</f>
        <v>10000</v>
      </c>
      <c r="M17" s="27"/>
      <c r="Q17" s="8"/>
    </row>
    <row r="18" spans="1:22" ht="15.75" thickBot="1">
      <c r="A18" s="13" t="s">
        <v>14</v>
      </c>
      <c r="B18" s="24">
        <v>0</v>
      </c>
      <c r="C18" s="25">
        <v>4</v>
      </c>
      <c r="D18" s="15">
        <v>180</v>
      </c>
      <c r="E18" s="14">
        <f t="shared" ref="E18:E29" si="6">D18*C18</f>
        <v>720</v>
      </c>
      <c r="F18" s="26">
        <f t="shared" ref="F18:F29" si="7">IF(B18=0,0,(B18/E18))</f>
        <v>0</v>
      </c>
      <c r="G18" s="26">
        <f t="shared" ref="G18:G28" si="8">(H18-F18)</f>
        <v>11.111044444444445</v>
      </c>
      <c r="H18" s="26">
        <f>H17+F18</f>
        <v>11.111044444444445</v>
      </c>
      <c r="I18" s="14">
        <v>5</v>
      </c>
      <c r="J18" s="27"/>
      <c r="K18" s="25">
        <v>0</v>
      </c>
      <c r="L18" s="14">
        <f t="shared" ref="L18:L29" si="9">K18*$L$31</f>
        <v>0</v>
      </c>
      <c r="M18" s="27"/>
      <c r="N18" s="31" t="s">
        <v>15</v>
      </c>
      <c r="O18" s="113" t="s">
        <v>16</v>
      </c>
      <c r="P18" s="113"/>
      <c r="Q18" s="32" t="s">
        <v>17</v>
      </c>
      <c r="S18" s="114" t="s">
        <v>34</v>
      </c>
      <c r="T18" s="115"/>
      <c r="U18" s="116"/>
    </row>
    <row r="19" spans="1:22" ht="15.75" thickBot="1">
      <c r="A19" s="13" t="s">
        <v>18</v>
      </c>
      <c r="B19" s="24">
        <v>0</v>
      </c>
      <c r="C19" s="25">
        <v>4</v>
      </c>
      <c r="D19" s="15">
        <v>180</v>
      </c>
      <c r="E19" s="14">
        <f t="shared" si="6"/>
        <v>720</v>
      </c>
      <c r="F19" s="26">
        <f t="shared" si="7"/>
        <v>0</v>
      </c>
      <c r="G19" s="26">
        <f t="shared" si="8"/>
        <v>11.111044444444445</v>
      </c>
      <c r="H19" s="26">
        <f t="shared" ref="H19:H28" si="10">H18+F19</f>
        <v>11.111044444444445</v>
      </c>
      <c r="I19" s="14">
        <v>5</v>
      </c>
      <c r="J19" s="27"/>
      <c r="K19" s="25">
        <v>0</v>
      </c>
      <c r="L19" s="14">
        <f t="shared" si="9"/>
        <v>0</v>
      </c>
      <c r="M19" s="27"/>
      <c r="N19" s="33">
        <f>O19-0.25</f>
        <v>19.908663492063489</v>
      </c>
      <c r="O19" s="105">
        <f>H29+K31</f>
        <v>20.158663492063489</v>
      </c>
      <c r="P19" s="105"/>
      <c r="Q19" s="34">
        <f>O19+0.25</f>
        <v>20.408663492063489</v>
      </c>
      <c r="S19" s="49" t="s">
        <v>35</v>
      </c>
      <c r="T19" s="21">
        <v>400</v>
      </c>
      <c r="U19" s="50"/>
    </row>
    <row r="20" spans="1:22">
      <c r="A20" s="13" t="s">
        <v>19</v>
      </c>
      <c r="B20" s="24">
        <v>0</v>
      </c>
      <c r="C20" s="25">
        <v>4</v>
      </c>
      <c r="D20" s="15">
        <v>140</v>
      </c>
      <c r="E20" s="14">
        <f t="shared" si="6"/>
        <v>560</v>
      </c>
      <c r="F20" s="26">
        <f t="shared" si="7"/>
        <v>0</v>
      </c>
      <c r="G20" s="26">
        <f t="shared" si="8"/>
        <v>11.111044444444445</v>
      </c>
      <c r="H20" s="26">
        <f t="shared" si="10"/>
        <v>11.111044444444445</v>
      </c>
      <c r="I20" s="14">
        <v>5</v>
      </c>
      <c r="J20" s="27"/>
      <c r="K20" s="25">
        <v>0</v>
      </c>
      <c r="L20" s="14">
        <f t="shared" si="9"/>
        <v>0</v>
      </c>
      <c r="M20" s="27"/>
      <c r="S20" s="20" t="s">
        <v>36</v>
      </c>
      <c r="T20" s="21">
        <v>500</v>
      </c>
      <c r="U20" s="51"/>
    </row>
    <row r="21" spans="1:22" ht="15.75" thickBot="1">
      <c r="A21" s="13" t="s">
        <v>21</v>
      </c>
      <c r="B21" s="24">
        <v>1500</v>
      </c>
      <c r="C21" s="25">
        <v>5</v>
      </c>
      <c r="D21" s="15">
        <v>180</v>
      </c>
      <c r="E21" s="14">
        <f t="shared" si="6"/>
        <v>900</v>
      </c>
      <c r="F21" s="26">
        <f t="shared" si="7"/>
        <v>1.6666666666666667</v>
      </c>
      <c r="G21" s="26">
        <f t="shared" si="8"/>
        <v>11.111044444444445</v>
      </c>
      <c r="H21" s="26">
        <f t="shared" si="10"/>
        <v>12.777711111111111</v>
      </c>
      <c r="I21" s="14">
        <v>3</v>
      </c>
      <c r="J21" s="27"/>
      <c r="K21" s="25">
        <v>1</v>
      </c>
      <c r="L21" s="14">
        <f t="shared" si="9"/>
        <v>10000</v>
      </c>
      <c r="M21" s="27"/>
      <c r="O21" s="35"/>
      <c r="P21" s="27"/>
      <c r="Q21" s="8"/>
      <c r="S21" s="52" t="s">
        <v>37</v>
      </c>
      <c r="T21" s="47">
        <v>900</v>
      </c>
      <c r="U21" s="53"/>
    </row>
    <row r="22" spans="1:22">
      <c r="A22" s="13" t="s">
        <v>22</v>
      </c>
      <c r="B22" s="24">
        <v>600</v>
      </c>
      <c r="C22" s="25">
        <v>5</v>
      </c>
      <c r="D22" s="15">
        <v>180</v>
      </c>
      <c r="E22" s="14">
        <f t="shared" si="6"/>
        <v>900</v>
      </c>
      <c r="F22" s="26">
        <f t="shared" si="7"/>
        <v>0.66666666666666663</v>
      </c>
      <c r="G22" s="26">
        <f t="shared" si="8"/>
        <v>12.777711111111111</v>
      </c>
      <c r="H22" s="26">
        <f t="shared" si="10"/>
        <v>13.444377777777778</v>
      </c>
      <c r="I22" s="14">
        <v>3</v>
      </c>
      <c r="J22" s="27"/>
      <c r="K22" s="25">
        <v>1</v>
      </c>
      <c r="L22" s="14">
        <f t="shared" si="9"/>
        <v>10000</v>
      </c>
      <c r="M22" s="27"/>
      <c r="O22" s="35"/>
      <c r="P22" s="27"/>
      <c r="Q22" s="8"/>
    </row>
    <row r="23" spans="1:22">
      <c r="A23" s="13" t="s">
        <v>23</v>
      </c>
      <c r="B23" s="24">
        <v>0</v>
      </c>
      <c r="C23" s="25">
        <v>4</v>
      </c>
      <c r="D23" s="15">
        <v>180</v>
      </c>
      <c r="E23" s="14">
        <f t="shared" si="6"/>
        <v>720</v>
      </c>
      <c r="F23" s="26">
        <f t="shared" si="7"/>
        <v>0</v>
      </c>
      <c r="G23" s="26">
        <f t="shared" si="8"/>
        <v>13.444377777777778</v>
      </c>
      <c r="H23" s="26">
        <f t="shared" si="10"/>
        <v>13.444377777777778</v>
      </c>
      <c r="I23" s="14">
        <v>3</v>
      </c>
      <c r="J23" s="27"/>
      <c r="K23" s="25">
        <v>0</v>
      </c>
      <c r="L23" s="14">
        <f t="shared" si="9"/>
        <v>0</v>
      </c>
      <c r="M23" s="27"/>
      <c r="O23" s="35"/>
      <c r="P23" s="27"/>
      <c r="Q23" s="8"/>
      <c r="V23" s="3"/>
    </row>
    <row r="24" spans="1:22">
      <c r="A24" s="13" t="s">
        <v>25</v>
      </c>
      <c r="B24" s="24">
        <v>0</v>
      </c>
      <c r="C24" s="25">
        <v>4</v>
      </c>
      <c r="D24" s="15">
        <v>180</v>
      </c>
      <c r="E24" s="14">
        <f t="shared" si="6"/>
        <v>720</v>
      </c>
      <c r="F24" s="26">
        <f t="shared" si="7"/>
        <v>0</v>
      </c>
      <c r="G24" s="26">
        <f t="shared" si="8"/>
        <v>13.444377777777778</v>
      </c>
      <c r="H24" s="26">
        <f t="shared" si="10"/>
        <v>13.444377777777778</v>
      </c>
      <c r="I24" s="14">
        <v>3</v>
      </c>
      <c r="J24" s="27"/>
      <c r="K24" s="25">
        <v>0</v>
      </c>
      <c r="L24" s="14">
        <f t="shared" si="9"/>
        <v>0</v>
      </c>
      <c r="M24" s="27"/>
      <c r="O24" s="35"/>
      <c r="P24" s="27"/>
      <c r="Q24" s="8"/>
      <c r="S24" s="54" t="s">
        <v>38</v>
      </c>
      <c r="V24" s="29"/>
    </row>
    <row r="25" spans="1:22">
      <c r="A25" s="13" t="s">
        <v>26</v>
      </c>
      <c r="B25" s="24">
        <v>0</v>
      </c>
      <c r="C25" s="25">
        <v>5</v>
      </c>
      <c r="D25" s="15">
        <v>180</v>
      </c>
      <c r="E25" s="14">
        <f t="shared" si="6"/>
        <v>900</v>
      </c>
      <c r="F25" s="26">
        <f t="shared" si="7"/>
        <v>0</v>
      </c>
      <c r="G25" s="26">
        <f t="shared" si="8"/>
        <v>13.444377777777778</v>
      </c>
      <c r="H25" s="26">
        <f t="shared" si="10"/>
        <v>13.444377777777778</v>
      </c>
      <c r="I25" s="14">
        <v>3</v>
      </c>
      <c r="J25" s="27"/>
      <c r="K25" s="25">
        <v>0</v>
      </c>
      <c r="L25" s="14">
        <f t="shared" si="9"/>
        <v>0</v>
      </c>
      <c r="M25" s="27"/>
      <c r="O25" s="35"/>
      <c r="P25" s="27"/>
      <c r="Q25" s="8"/>
      <c r="S25" s="26">
        <f>O6+O19</f>
        <v>40.380819047619049</v>
      </c>
      <c r="V25" s="3"/>
    </row>
    <row r="26" spans="1:22">
      <c r="A26" s="73" t="s">
        <v>27</v>
      </c>
      <c r="B26" s="74">
        <v>1500</v>
      </c>
      <c r="C26" s="75">
        <v>5</v>
      </c>
      <c r="D26" s="71">
        <v>180</v>
      </c>
      <c r="E26" s="69">
        <f t="shared" si="6"/>
        <v>900</v>
      </c>
      <c r="F26" s="76">
        <f t="shared" si="7"/>
        <v>1.6666666666666667</v>
      </c>
      <c r="G26" s="76">
        <f t="shared" si="8"/>
        <v>13.444377777777778</v>
      </c>
      <c r="H26" s="76">
        <f t="shared" si="10"/>
        <v>15.111044444444444</v>
      </c>
      <c r="I26" s="69">
        <v>2</v>
      </c>
      <c r="J26" s="27"/>
      <c r="K26" s="25">
        <v>1</v>
      </c>
      <c r="L26" s="14">
        <f t="shared" si="9"/>
        <v>10000</v>
      </c>
      <c r="M26" s="27"/>
      <c r="O26" s="35"/>
      <c r="P26" s="27"/>
      <c r="Q26" s="8"/>
      <c r="V26" s="55"/>
    </row>
    <row r="27" spans="1:22">
      <c r="A27" s="73" t="s">
        <v>29</v>
      </c>
      <c r="B27" s="74">
        <v>300</v>
      </c>
      <c r="C27" s="75">
        <v>5</v>
      </c>
      <c r="D27" s="71">
        <v>180</v>
      </c>
      <c r="E27" s="69">
        <f t="shared" si="6"/>
        <v>900</v>
      </c>
      <c r="F27" s="76">
        <f t="shared" si="7"/>
        <v>0.33333333333333331</v>
      </c>
      <c r="G27" s="76">
        <f t="shared" si="8"/>
        <v>15.111044444444444</v>
      </c>
      <c r="H27" s="76">
        <f t="shared" si="10"/>
        <v>15.444377777777778</v>
      </c>
      <c r="I27" s="69">
        <v>1</v>
      </c>
      <c r="J27" s="27"/>
      <c r="K27" s="25">
        <v>1</v>
      </c>
      <c r="L27" s="14">
        <f t="shared" si="9"/>
        <v>10000</v>
      </c>
      <c r="M27" s="27"/>
      <c r="O27" s="35"/>
      <c r="P27" s="27"/>
      <c r="Q27" s="8"/>
      <c r="V27" s="55"/>
    </row>
    <row r="28" spans="1:22">
      <c r="A28" s="73" t="s">
        <v>30</v>
      </c>
      <c r="B28" s="74">
        <v>1600</v>
      </c>
      <c r="C28" s="75">
        <v>5</v>
      </c>
      <c r="D28" s="71">
        <v>140</v>
      </c>
      <c r="E28" s="69">
        <f t="shared" si="6"/>
        <v>700</v>
      </c>
      <c r="F28" s="76">
        <f t="shared" si="7"/>
        <v>2.2857142857142856</v>
      </c>
      <c r="G28" s="76">
        <f t="shared" si="8"/>
        <v>15.444377777777778</v>
      </c>
      <c r="H28" s="76">
        <f t="shared" si="10"/>
        <v>17.730092063492062</v>
      </c>
      <c r="I28" s="69">
        <v>6</v>
      </c>
      <c r="J28" s="27"/>
      <c r="K28" s="25">
        <v>1</v>
      </c>
      <c r="L28" s="14">
        <f t="shared" si="9"/>
        <v>10000</v>
      </c>
      <c r="M28" s="27"/>
      <c r="O28" s="35"/>
      <c r="P28" s="27"/>
      <c r="Q28" s="8"/>
      <c r="V28" s="56"/>
    </row>
    <row r="29" spans="1:22">
      <c r="A29" s="73" t="s">
        <v>32</v>
      </c>
      <c r="B29" s="74">
        <v>1000</v>
      </c>
      <c r="C29" s="75">
        <v>5</v>
      </c>
      <c r="D29" s="71">
        <v>140</v>
      </c>
      <c r="E29" s="69">
        <f t="shared" si="6"/>
        <v>700</v>
      </c>
      <c r="F29" s="76">
        <f t="shared" si="7"/>
        <v>1.4285714285714286</v>
      </c>
      <c r="G29" s="76">
        <f>(H29-F29)</f>
        <v>17.730092063492062</v>
      </c>
      <c r="H29" s="76">
        <f>H28+F29</f>
        <v>19.158663492063489</v>
      </c>
      <c r="I29" s="69">
        <v>7</v>
      </c>
      <c r="J29" s="27"/>
      <c r="K29" s="25">
        <v>1</v>
      </c>
      <c r="L29" s="14">
        <f t="shared" si="9"/>
        <v>10000</v>
      </c>
      <c r="M29" s="27"/>
      <c r="O29" s="35"/>
      <c r="P29" s="27"/>
      <c r="Q29" s="8"/>
      <c r="V29" s="55"/>
    </row>
    <row r="30" spans="1:22" ht="15.75" thickBot="1"/>
    <row r="31" spans="1:22" ht="15.75" thickBot="1">
      <c r="K31" s="66">
        <f>(SUM(K17:K29)-1)*(10/60)</f>
        <v>1</v>
      </c>
      <c r="L31" s="67">
        <f>10000</f>
        <v>10000</v>
      </c>
    </row>
    <row r="32" spans="1:22">
      <c r="O32" s="57"/>
      <c r="P32" s="4"/>
      <c r="Q32" s="4"/>
    </row>
    <row r="33" spans="1:17">
      <c r="A33" s="106" t="s">
        <v>39</v>
      </c>
      <c r="B33" s="107"/>
      <c r="C33" s="107"/>
      <c r="D33" s="107"/>
      <c r="E33" s="107"/>
      <c r="F33" s="107"/>
      <c r="G33" s="107"/>
      <c r="H33" s="107"/>
      <c r="I33" s="108"/>
      <c r="J33" s="4"/>
      <c r="K33" s="4"/>
      <c r="L33" s="4"/>
      <c r="M33" s="4"/>
      <c r="P33" s="28"/>
      <c r="Q33" s="28"/>
    </row>
    <row r="34" spans="1:17">
      <c r="A34" s="13"/>
      <c r="B34" s="10" t="s">
        <v>4</v>
      </c>
      <c r="C34" s="10" t="s">
        <v>6</v>
      </c>
      <c r="D34" s="14" t="s">
        <v>7</v>
      </c>
      <c r="E34" s="10" t="s">
        <v>8</v>
      </c>
      <c r="F34" s="10" t="s">
        <v>3</v>
      </c>
      <c r="G34" s="10" t="s">
        <v>9</v>
      </c>
      <c r="H34" s="10" t="s">
        <v>10</v>
      </c>
      <c r="I34" s="15" t="s">
        <v>11</v>
      </c>
      <c r="J34" s="27"/>
      <c r="K34" s="27"/>
      <c r="L34" s="27"/>
      <c r="M34" s="27"/>
      <c r="P34" s="8"/>
      <c r="Q34" s="8"/>
    </row>
    <row r="35" spans="1:17">
      <c r="A35" s="13" t="s">
        <v>35</v>
      </c>
      <c r="B35" s="58">
        <f>T19</f>
        <v>400</v>
      </c>
      <c r="C35" s="25">
        <v>4</v>
      </c>
      <c r="D35" s="15">
        <v>130</v>
      </c>
      <c r="E35" s="14">
        <f>D35*C35</f>
        <v>520</v>
      </c>
      <c r="F35" s="60">
        <f>IF(B35=0,0,B35/E35)/24</f>
        <v>3.2051282051282055E-2</v>
      </c>
      <c r="G35" s="60">
        <f>H35-F35</f>
        <v>0.27775</v>
      </c>
      <c r="H35" s="60">
        <f>(6.666/24)+F35</f>
        <v>0.30980128205128205</v>
      </c>
      <c r="I35" s="14">
        <v>1</v>
      </c>
      <c r="J35" s="27"/>
      <c r="K35" s="27"/>
      <c r="L35" s="27"/>
      <c r="M35" s="27"/>
      <c r="P35" s="8"/>
      <c r="Q35" s="8"/>
    </row>
    <row r="36" spans="1:17">
      <c r="A36" s="13" t="s">
        <v>36</v>
      </c>
      <c r="B36" s="58">
        <f t="shared" ref="B36:B37" si="11">T20</f>
        <v>500</v>
      </c>
      <c r="C36" s="25">
        <v>4</v>
      </c>
      <c r="D36" s="15">
        <v>130</v>
      </c>
      <c r="E36" s="14">
        <f t="shared" ref="E36:E39" si="12">D36*C36</f>
        <v>520</v>
      </c>
      <c r="F36" s="60">
        <f t="shared" ref="F36:F38" si="13">IF(B36=0,0,B36/E36)/24</f>
        <v>4.0064102564102567E-2</v>
      </c>
      <c r="G36" s="60">
        <f t="shared" ref="G36:G38" si="14">H36-F36</f>
        <v>0.30980128205128205</v>
      </c>
      <c r="H36" s="60">
        <f>H35+F36</f>
        <v>0.34986538461538463</v>
      </c>
      <c r="I36" s="14">
        <v>1</v>
      </c>
      <c r="J36" s="27"/>
      <c r="K36" s="27"/>
      <c r="L36" s="27"/>
      <c r="M36" s="27"/>
      <c r="P36" s="8"/>
      <c r="Q36" s="8"/>
    </row>
    <row r="37" spans="1:17">
      <c r="A37" s="13" t="s">
        <v>37</v>
      </c>
      <c r="B37" s="58">
        <f t="shared" si="11"/>
        <v>900</v>
      </c>
      <c r="C37" s="25">
        <v>4</v>
      </c>
      <c r="D37" s="15">
        <v>130</v>
      </c>
      <c r="E37" s="14">
        <f t="shared" si="12"/>
        <v>520</v>
      </c>
      <c r="F37" s="60">
        <f t="shared" si="13"/>
        <v>7.2115384615384623E-2</v>
      </c>
      <c r="G37" s="60">
        <f t="shared" si="14"/>
        <v>0.34986538461538463</v>
      </c>
      <c r="H37" s="60">
        <f t="shared" ref="H37:H38" si="15">H36+F37</f>
        <v>0.42198076923076927</v>
      </c>
      <c r="I37" s="14">
        <v>1</v>
      </c>
      <c r="J37" s="27"/>
      <c r="K37" s="27"/>
      <c r="L37" s="27"/>
      <c r="M37" s="27"/>
      <c r="P37" s="8"/>
      <c r="Q37" s="8"/>
    </row>
    <row r="38" spans="1:17">
      <c r="A38" s="59" t="s">
        <v>40</v>
      </c>
      <c r="B38" s="58">
        <f>T16</f>
        <v>200</v>
      </c>
      <c r="C38" s="25">
        <v>1</v>
      </c>
      <c r="D38" s="15">
        <v>25</v>
      </c>
      <c r="E38" s="14">
        <f t="shared" si="12"/>
        <v>25</v>
      </c>
      <c r="F38" s="60">
        <f t="shared" si="13"/>
        <v>0.33333333333333331</v>
      </c>
      <c r="G38" s="60">
        <f t="shared" si="14"/>
        <v>0.42198076923076927</v>
      </c>
      <c r="H38" s="60">
        <f t="shared" si="15"/>
        <v>0.75531410256410259</v>
      </c>
      <c r="I38" s="14">
        <v>2</v>
      </c>
      <c r="J38" s="39"/>
      <c r="K38" s="39"/>
      <c r="L38" s="39"/>
      <c r="M38" s="39"/>
      <c r="P38" s="8"/>
      <c r="Q38" s="8"/>
    </row>
    <row r="39" spans="1:17">
      <c r="E39" s="87"/>
      <c r="P39" s="8"/>
      <c r="Q39" s="8"/>
    </row>
    <row r="41" spans="1:17">
      <c r="A41" s="39"/>
      <c r="B41" s="39"/>
      <c r="C41" s="39"/>
      <c r="D41" s="39"/>
    </row>
    <row r="42" spans="1:17">
      <c r="A42" s="97"/>
      <c r="B42" s="98"/>
      <c r="C42" s="39"/>
      <c r="D42" s="39"/>
    </row>
    <row r="43" spans="1:17">
      <c r="A43" s="39"/>
      <c r="B43" s="39"/>
      <c r="C43" s="39"/>
      <c r="D43" s="39"/>
    </row>
    <row r="44" spans="1:17">
      <c r="A44" s="97"/>
      <c r="B44" s="98"/>
      <c r="C44" s="39"/>
    </row>
    <row r="45" spans="1:17">
      <c r="A45" s="99"/>
      <c r="B45" s="98"/>
      <c r="C45" s="39"/>
    </row>
    <row r="46" spans="1:17">
      <c r="A46" s="97"/>
      <c r="B46" s="98"/>
      <c r="C46" s="39"/>
    </row>
    <row r="47" spans="1:17">
      <c r="A47" s="97"/>
      <c r="B47" s="98"/>
      <c r="C47" s="39"/>
    </row>
    <row r="48" spans="1:17">
      <c r="A48" s="97"/>
      <c r="B48" s="98"/>
      <c r="C48" s="39"/>
    </row>
    <row r="49" spans="1:4">
      <c r="A49" s="97"/>
      <c r="B49" s="98"/>
      <c r="C49" s="39"/>
    </row>
    <row r="50" spans="1:4">
      <c r="A50" s="97"/>
      <c r="B50" s="98"/>
      <c r="C50" s="39"/>
    </row>
    <row r="51" spans="1:4">
      <c r="A51" s="97"/>
      <c r="B51" s="98"/>
      <c r="C51" s="39"/>
    </row>
    <row r="52" spans="1:4">
      <c r="A52" s="97"/>
      <c r="B52" s="98"/>
      <c r="C52" s="39"/>
    </row>
    <row r="53" spans="1:4">
      <c r="A53" s="97"/>
      <c r="B53" s="100"/>
      <c r="C53" s="39"/>
    </row>
    <row r="54" spans="1:4">
      <c r="A54" s="97"/>
      <c r="B54" s="98"/>
      <c r="C54" s="39"/>
    </row>
    <row r="55" spans="1:4">
      <c r="A55" s="97"/>
      <c r="B55" s="98"/>
      <c r="C55" s="39"/>
    </row>
    <row r="56" spans="1:4">
      <c r="A56" s="39"/>
      <c r="B56" s="63"/>
      <c r="C56" s="39"/>
    </row>
    <row r="57" spans="1:4">
      <c r="A57" s="39"/>
      <c r="B57" s="63"/>
      <c r="C57" s="39"/>
    </row>
    <row r="58" spans="1:4">
      <c r="A58" s="39"/>
      <c r="B58" s="63"/>
      <c r="C58" s="39"/>
    </row>
    <row r="59" spans="1:4">
      <c r="A59" s="39"/>
      <c r="B59" s="63"/>
      <c r="C59" s="39"/>
    </row>
    <row r="60" spans="1:4">
      <c r="A60" s="39"/>
      <c r="B60" s="63"/>
      <c r="C60" s="39"/>
    </row>
    <row r="61" spans="1:4">
      <c r="A61" s="39"/>
      <c r="B61" s="63"/>
      <c r="C61" s="39"/>
    </row>
    <row r="62" spans="1:4">
      <c r="A62" s="39"/>
      <c r="B62" s="63"/>
      <c r="C62" s="39"/>
    </row>
    <row r="63" spans="1:4">
      <c r="A63" s="39"/>
      <c r="B63" s="63"/>
      <c r="C63" s="39"/>
    </row>
    <row r="64" spans="1:4">
      <c r="A64" s="39"/>
      <c r="B64" s="39"/>
      <c r="C64" s="39"/>
      <c r="D64" s="39"/>
    </row>
  </sheetData>
  <mergeCells count="9">
    <mergeCell ref="O19:P19"/>
    <mergeCell ref="A33:I33"/>
    <mergeCell ref="S1:U1"/>
    <mergeCell ref="A2:I2"/>
    <mergeCell ref="O5:P5"/>
    <mergeCell ref="O6:P6"/>
    <mergeCell ref="A15:I15"/>
    <mergeCell ref="O18:P18"/>
    <mergeCell ref="S18:U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N40"/>
  <sheetViews>
    <sheetView workbookViewId="0">
      <selection activeCell="L10" sqref="L10"/>
    </sheetView>
  </sheetViews>
  <sheetFormatPr baseColWidth="10" defaultRowHeight="15"/>
  <cols>
    <col min="1" max="1" width="17.85546875" bestFit="1" customWidth="1"/>
    <col min="2" max="2" width="12.7109375" bestFit="1" customWidth="1"/>
    <col min="7" max="7" width="11.42578125" customWidth="1"/>
    <col min="11" max="11" width="23.85546875" bestFit="1" customWidth="1"/>
    <col min="12" max="12" width="11.42578125" customWidth="1"/>
    <col min="13" max="13" width="12.5703125" bestFit="1" customWidth="1"/>
  </cols>
  <sheetData>
    <row r="1" spans="1:10">
      <c r="A1" s="117" t="s">
        <v>41</v>
      </c>
      <c r="B1" s="118"/>
      <c r="C1" s="118"/>
      <c r="D1" s="118"/>
      <c r="E1" s="118"/>
      <c r="F1" s="118"/>
      <c r="G1" s="118"/>
      <c r="H1" s="118"/>
      <c r="I1" s="119"/>
      <c r="J1" s="8"/>
    </row>
    <row r="2" spans="1:10">
      <c r="A2" s="10" t="s">
        <v>42</v>
      </c>
      <c r="B2" s="10" t="s">
        <v>44</v>
      </c>
      <c r="C2" s="10" t="s">
        <v>43</v>
      </c>
      <c r="D2" s="10" t="s">
        <v>7</v>
      </c>
      <c r="E2" s="10" t="s">
        <v>8</v>
      </c>
      <c r="F2" s="10" t="s">
        <v>45</v>
      </c>
      <c r="G2" s="10" t="s">
        <v>46</v>
      </c>
      <c r="H2" s="10" t="s">
        <v>3</v>
      </c>
      <c r="I2" s="15" t="s">
        <v>11</v>
      </c>
    </row>
    <row r="3" spans="1:10" hidden="1">
      <c r="A3" s="72" t="s">
        <v>47</v>
      </c>
      <c r="B3" s="72" t="s">
        <v>48</v>
      </c>
      <c r="C3" s="72">
        <v>0</v>
      </c>
      <c r="D3" s="72">
        <v>180</v>
      </c>
      <c r="E3" s="72">
        <v>900</v>
      </c>
      <c r="F3" s="70">
        <f t="shared" ref="F3:F12" si="0">G3-H3</f>
        <v>0.27777499999999999</v>
      </c>
      <c r="G3" s="70">
        <f>(6.6666/24)+H3</f>
        <v>0.27777499999999999</v>
      </c>
      <c r="H3" s="70">
        <f t="shared" ref="H3:H12" si="1">C3/E3/24</f>
        <v>0</v>
      </c>
      <c r="I3" s="71">
        <v>0</v>
      </c>
    </row>
    <row r="4" spans="1:10">
      <c r="A4" s="14" t="str">
        <f>Plannif!A10</f>
        <v>Doux St Léo MSC</v>
      </c>
      <c r="B4" s="68">
        <f>Plannif!C10</f>
        <v>5</v>
      </c>
      <c r="C4" s="14">
        <f>Plannif!B10</f>
        <v>250</v>
      </c>
      <c r="D4" s="14">
        <v>180</v>
      </c>
      <c r="E4" s="14">
        <f t="shared" ref="E4:E12" si="2">B4*D4</f>
        <v>900</v>
      </c>
      <c r="F4" s="60">
        <f t="shared" si="0"/>
        <v>0.27777499999999999</v>
      </c>
      <c r="G4" s="60">
        <f t="shared" ref="G4:G12" si="3">G3+H4</f>
        <v>0.28934907407407406</v>
      </c>
      <c r="H4" s="60">
        <f t="shared" si="1"/>
        <v>1.1574074074074075E-2</v>
      </c>
      <c r="I4" s="14">
        <f>Plannif!I10</f>
        <v>1</v>
      </c>
    </row>
    <row r="5" spans="1:10">
      <c r="A5" s="14" t="str">
        <f>Plannif!A8</f>
        <v xml:space="preserve">Doux St Léo </v>
      </c>
      <c r="B5" s="68">
        <f>Plannif!C8</f>
        <v>4</v>
      </c>
      <c r="C5" s="14">
        <f>Plannif!B8</f>
        <v>0</v>
      </c>
      <c r="D5" s="14">
        <v>180</v>
      </c>
      <c r="E5" s="14">
        <f t="shared" si="2"/>
        <v>720</v>
      </c>
      <c r="F5" s="60">
        <f t="shared" si="0"/>
        <v>0.28934907407407406</v>
      </c>
      <c r="G5" s="60">
        <f t="shared" si="3"/>
        <v>0.28934907407407406</v>
      </c>
      <c r="H5" s="60">
        <f t="shared" si="1"/>
        <v>0</v>
      </c>
      <c r="I5" s="14">
        <f>Plannif!I8</f>
        <v>1</v>
      </c>
    </row>
    <row r="6" spans="1:10" hidden="1">
      <c r="A6" s="14" t="str">
        <f>Plannif!A9</f>
        <v>Doux St Léo Auchan</v>
      </c>
      <c r="B6" s="68">
        <f>Plannif!C9</f>
        <v>4</v>
      </c>
      <c r="C6" s="14">
        <f>Plannif!B9</f>
        <v>0</v>
      </c>
      <c r="D6" s="14">
        <v>180</v>
      </c>
      <c r="E6" s="14">
        <f t="shared" si="2"/>
        <v>720</v>
      </c>
      <c r="F6" s="60">
        <f t="shared" si="0"/>
        <v>0.28934907407407406</v>
      </c>
      <c r="G6" s="60">
        <f t="shared" si="3"/>
        <v>0.28934907407407406</v>
      </c>
      <c r="H6" s="60">
        <f t="shared" si="1"/>
        <v>0</v>
      </c>
      <c r="I6" s="14">
        <f>Plannif!I9</f>
        <v>1</v>
      </c>
    </row>
    <row r="7" spans="1:10">
      <c r="A7" s="14" t="str">
        <f>Plannif!A12</f>
        <v>Naturel St Léo MSC</v>
      </c>
      <c r="B7" s="68">
        <f>Plannif!C12</f>
        <v>5</v>
      </c>
      <c r="C7" s="14">
        <f>Plannif!B12</f>
        <v>250.00000000000415</v>
      </c>
      <c r="D7" s="14">
        <v>180</v>
      </c>
      <c r="E7" s="14">
        <f t="shared" si="2"/>
        <v>900</v>
      </c>
      <c r="F7" s="60">
        <f t="shared" si="0"/>
        <v>0.28934907407407406</v>
      </c>
      <c r="G7" s="60">
        <f t="shared" si="3"/>
        <v>0.30092314814814836</v>
      </c>
      <c r="H7" s="60">
        <f t="shared" si="1"/>
        <v>1.1574074074074266E-2</v>
      </c>
      <c r="I7" s="14">
        <f>Plannif!I12</f>
        <v>1</v>
      </c>
    </row>
    <row r="8" spans="1:10">
      <c r="A8" s="14" t="str">
        <f>Plannif!A11</f>
        <v>Naturel St Léo</v>
      </c>
      <c r="B8" s="68">
        <f>Plannif!C11</f>
        <v>5</v>
      </c>
      <c r="C8" s="14">
        <f>Plannif!B11</f>
        <v>450</v>
      </c>
      <c r="D8" s="14">
        <v>180</v>
      </c>
      <c r="E8" s="14">
        <f t="shared" si="2"/>
        <v>900</v>
      </c>
      <c r="F8" s="60">
        <f t="shared" si="0"/>
        <v>0.30092314814814836</v>
      </c>
      <c r="G8" s="60">
        <f t="shared" si="3"/>
        <v>0.32175648148148167</v>
      </c>
      <c r="H8" s="60">
        <f t="shared" si="1"/>
        <v>2.0833333333333332E-2</v>
      </c>
      <c r="I8" s="14">
        <f>Plannif!I11</f>
        <v>1</v>
      </c>
    </row>
    <row r="9" spans="1:10">
      <c r="A9" s="14" t="str">
        <f>Plannif!A4</f>
        <v>Doux Delpierre</v>
      </c>
      <c r="B9" s="68">
        <f>Plannif!C4</f>
        <v>5</v>
      </c>
      <c r="C9" s="14">
        <f>Plannif!B4</f>
        <v>2500</v>
      </c>
      <c r="D9" s="14">
        <v>180</v>
      </c>
      <c r="E9" s="14">
        <f t="shared" si="2"/>
        <v>900</v>
      </c>
      <c r="F9" s="60">
        <f t="shared" si="0"/>
        <v>0.32175648148148167</v>
      </c>
      <c r="G9" s="60">
        <f t="shared" si="3"/>
        <v>0.43749722222222243</v>
      </c>
      <c r="H9" s="60">
        <f t="shared" si="1"/>
        <v>0.11574074074074074</v>
      </c>
      <c r="I9" s="14">
        <f>Plannif!I4</f>
        <v>2</v>
      </c>
    </row>
    <row r="10" spans="1:10">
      <c r="A10" s="14" t="str">
        <f>Plannif!A5</f>
        <v>Naturel Delpierre</v>
      </c>
      <c r="B10" s="68">
        <f>Plannif!C5</f>
        <v>5</v>
      </c>
      <c r="C10" s="14">
        <f>Plannif!B5</f>
        <v>500</v>
      </c>
      <c r="D10" s="14">
        <v>180</v>
      </c>
      <c r="E10" s="14">
        <f t="shared" si="2"/>
        <v>900</v>
      </c>
      <c r="F10" s="60">
        <f t="shared" si="0"/>
        <v>0.43749722222222243</v>
      </c>
      <c r="G10" s="60">
        <f t="shared" si="3"/>
        <v>0.46064537037037057</v>
      </c>
      <c r="H10" s="60">
        <f t="shared" si="1"/>
        <v>2.314814814814815E-2</v>
      </c>
      <c r="I10" s="14">
        <f>Plannif!I5</f>
        <v>3</v>
      </c>
    </row>
    <row r="11" spans="1:10">
      <c r="A11" s="14" t="str">
        <f>Plannif!A6</f>
        <v>Doux MDD</v>
      </c>
      <c r="B11" s="68">
        <f>Plannif!C6</f>
        <v>5</v>
      </c>
      <c r="C11" s="14">
        <f>Plannif!B6</f>
        <v>7500</v>
      </c>
      <c r="D11" s="14">
        <v>180</v>
      </c>
      <c r="E11" s="14">
        <f t="shared" si="2"/>
        <v>900</v>
      </c>
      <c r="F11" s="60">
        <f t="shared" si="0"/>
        <v>0.46064537037037062</v>
      </c>
      <c r="G11" s="60">
        <f t="shared" si="3"/>
        <v>0.80786759259259289</v>
      </c>
      <c r="H11" s="60">
        <f t="shared" si="1"/>
        <v>0.34722222222222227</v>
      </c>
      <c r="I11" s="14">
        <f>Plannif!I6</f>
        <v>3</v>
      </c>
    </row>
    <row r="12" spans="1:10">
      <c r="A12" s="14" t="str">
        <f>Plannif!A7</f>
        <v>Doux Métro</v>
      </c>
      <c r="B12" s="68">
        <f>INDEX(Per,MATCH(Plannif!B7,Vol,0))</f>
        <v>5</v>
      </c>
      <c r="C12" s="14">
        <f>Plannif!B7</f>
        <v>0</v>
      </c>
      <c r="D12" s="14">
        <v>180</v>
      </c>
      <c r="E12" s="14">
        <f t="shared" si="2"/>
        <v>900</v>
      </c>
      <c r="F12" s="60">
        <f t="shared" si="0"/>
        <v>0.80786759259259289</v>
      </c>
      <c r="G12" s="60">
        <f t="shared" si="3"/>
        <v>0.80786759259259289</v>
      </c>
      <c r="H12" s="60">
        <f t="shared" si="1"/>
        <v>0</v>
      </c>
      <c r="I12" s="14">
        <f>Plannif!I7</f>
        <v>3</v>
      </c>
    </row>
    <row r="15" spans="1:10">
      <c r="G15" s="27"/>
      <c r="H15" s="27"/>
    </row>
    <row r="16" spans="1:10">
      <c r="G16" s="39"/>
      <c r="H16" s="39"/>
    </row>
    <row r="17" spans="1:14">
      <c r="G17" s="39"/>
      <c r="H17" s="39"/>
    </row>
    <row r="18" spans="1:14">
      <c r="G18" s="39"/>
      <c r="H18" s="39"/>
    </row>
    <row r="19" spans="1:14">
      <c r="G19" s="39"/>
      <c r="H19" s="39"/>
    </row>
    <row r="20" spans="1:14">
      <c r="G20" s="39"/>
      <c r="H20" s="39"/>
    </row>
    <row r="21" spans="1:14">
      <c r="A21" s="19"/>
      <c r="B21" s="19"/>
      <c r="C21" s="19"/>
      <c r="D21" s="19"/>
      <c r="G21" s="39"/>
      <c r="H21" s="39"/>
    </row>
    <row r="22" spans="1:14">
      <c r="G22" s="39"/>
      <c r="H22" s="39"/>
      <c r="L22" s="61"/>
      <c r="M22" s="61"/>
      <c r="N22" s="61"/>
    </row>
    <row r="23" spans="1:14">
      <c r="G23" s="39"/>
      <c r="H23" s="39"/>
      <c r="K23" s="61"/>
      <c r="L23" s="61"/>
      <c r="M23" s="61"/>
    </row>
    <row r="24" spans="1:14">
      <c r="G24" s="39"/>
      <c r="H24" s="39"/>
      <c r="K24" s="61"/>
      <c r="L24" s="61"/>
      <c r="M24" s="61"/>
    </row>
    <row r="25" spans="1:14">
      <c r="G25" s="39"/>
      <c r="H25" s="39"/>
      <c r="K25" s="61"/>
      <c r="L25" s="61"/>
      <c r="M25" s="61"/>
    </row>
    <row r="26" spans="1:14">
      <c r="G26" s="39"/>
      <c r="H26" s="39"/>
      <c r="K26" s="61"/>
      <c r="L26" s="61"/>
      <c r="M26" s="61"/>
    </row>
    <row r="27" spans="1:14">
      <c r="G27" s="39"/>
      <c r="H27" s="39"/>
      <c r="K27" s="61"/>
      <c r="L27" s="61"/>
      <c r="M27" s="61"/>
    </row>
    <row r="28" spans="1:14">
      <c r="K28" s="61"/>
      <c r="L28" s="61"/>
      <c r="M28" s="61"/>
    </row>
    <row r="29" spans="1:14">
      <c r="K29" s="61"/>
      <c r="L29" s="61"/>
      <c r="M29" s="61"/>
    </row>
    <row r="30" spans="1:14">
      <c r="K30" s="61"/>
      <c r="L30" s="61"/>
      <c r="M30" s="61"/>
    </row>
    <row r="31" spans="1:14">
      <c r="K31" s="61"/>
      <c r="L31" s="61"/>
      <c r="M31" s="61"/>
    </row>
    <row r="32" spans="1:14">
      <c r="K32" s="61"/>
      <c r="L32" s="61"/>
      <c r="M32" s="61"/>
    </row>
    <row r="33" spans="11:13">
      <c r="K33" s="61"/>
      <c r="L33" s="61"/>
      <c r="M33" s="61"/>
    </row>
    <row r="34" spans="11:13">
      <c r="K34" s="61"/>
      <c r="L34" s="61"/>
      <c r="M34" s="61"/>
    </row>
    <row r="35" spans="11:13">
      <c r="K35" s="61"/>
      <c r="L35" s="61"/>
      <c r="M35" s="61"/>
    </row>
    <row r="36" spans="11:13">
      <c r="K36" s="61"/>
      <c r="L36" s="61"/>
      <c r="M36" s="61"/>
    </row>
    <row r="37" spans="11:13">
      <c r="K37" s="61"/>
      <c r="L37" s="61"/>
      <c r="M37" s="61"/>
    </row>
    <row r="38" spans="11:13">
      <c r="K38" s="61"/>
      <c r="L38" s="61"/>
      <c r="M38" s="61"/>
    </row>
    <row r="39" spans="11:13">
      <c r="K39" s="61"/>
      <c r="L39" s="61"/>
      <c r="M39" s="61"/>
    </row>
    <row r="40" spans="11:13">
      <c r="K40" s="62"/>
      <c r="L40" s="62"/>
      <c r="M40" s="62"/>
    </row>
  </sheetData>
  <autoFilter ref="A2:I12">
    <filterColumn colId="2">
      <filters>
        <filter val="#N/A"/>
        <filter val="0,00332363"/>
        <filter val="1,50618E-06"/>
        <filter val="250"/>
        <filter val="250,01"/>
        <filter val="2500"/>
        <filter val="500"/>
        <filter val="7500"/>
      </filters>
    </filterColumn>
    <sortState ref="A3:I12">
      <sortCondition ref="I2:I12"/>
    </sortState>
  </autoFilter>
  <sortState ref="A3:I11">
    <sortCondition ref="I2"/>
  </sortState>
  <mergeCells count="1">
    <mergeCell ref="A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6"/>
  <sheetViews>
    <sheetView zoomScale="85" zoomScaleNormal="85" workbookViewId="0">
      <selection activeCell="J7" sqref="J7"/>
    </sheetView>
  </sheetViews>
  <sheetFormatPr baseColWidth="10" defaultRowHeight="15"/>
  <cols>
    <col min="1" max="1" width="24" customWidth="1"/>
    <col min="2" max="2" width="13.85546875" bestFit="1" customWidth="1"/>
    <col min="5" max="5" width="11.42578125" customWidth="1"/>
    <col min="9" max="9" width="14.42578125" bestFit="1" customWidth="1"/>
    <col min="10" max="10" width="16.85546875" bestFit="1" customWidth="1"/>
    <col min="11" max="11" width="11.42578125" customWidth="1"/>
  </cols>
  <sheetData>
    <row r="1" spans="1:20" ht="15.75" thickBot="1">
      <c r="A1" s="120" t="s">
        <v>50</v>
      </c>
      <c r="B1" s="121"/>
      <c r="C1" s="121"/>
      <c r="D1" s="121"/>
      <c r="E1" s="121"/>
      <c r="F1" s="121"/>
      <c r="G1" s="121"/>
      <c r="H1" s="121"/>
      <c r="I1" s="121"/>
      <c r="J1" s="122"/>
      <c r="K1" s="122"/>
      <c r="L1" s="122"/>
      <c r="M1" s="122"/>
      <c r="N1" s="122"/>
      <c r="O1" s="122"/>
      <c r="P1" s="122"/>
      <c r="Q1" s="122"/>
      <c r="R1" s="122"/>
    </row>
    <row r="2" spans="1:20">
      <c r="A2" s="78" t="s">
        <v>42</v>
      </c>
      <c r="B2" s="79" t="s">
        <v>44</v>
      </c>
      <c r="C2" s="79" t="s">
        <v>43</v>
      </c>
      <c r="D2" s="79" t="s">
        <v>7</v>
      </c>
      <c r="E2" s="79" t="s">
        <v>8</v>
      </c>
      <c r="F2" s="79" t="s">
        <v>45</v>
      </c>
      <c r="G2" s="79" t="s">
        <v>46</v>
      </c>
      <c r="H2" s="79" t="s">
        <v>3</v>
      </c>
      <c r="I2" s="101" t="s">
        <v>11</v>
      </c>
      <c r="J2" s="27"/>
      <c r="M2" s="27"/>
      <c r="N2" s="27"/>
      <c r="O2" s="27"/>
      <c r="Q2" s="27"/>
      <c r="R2" s="16"/>
    </row>
    <row r="3" spans="1:20">
      <c r="A3" s="102" t="s">
        <v>49</v>
      </c>
      <c r="B3" s="69" t="s">
        <v>48</v>
      </c>
      <c r="C3" s="69">
        <v>0</v>
      </c>
      <c r="D3" s="69">
        <v>180</v>
      </c>
      <c r="E3" s="69">
        <f>900</f>
        <v>900</v>
      </c>
      <c r="F3" s="70">
        <f t="shared" ref="F3:F16" si="0">G3-H3</f>
        <v>0.27777499999999999</v>
      </c>
      <c r="G3" s="70">
        <f>(6.6666/24)+H3</f>
        <v>0.27777499999999999</v>
      </c>
      <c r="H3" s="70">
        <f t="shared" ref="H3:H16" si="1">C3/E3/24</f>
        <v>0</v>
      </c>
      <c r="I3" s="103">
        <v>0</v>
      </c>
      <c r="J3" s="64"/>
      <c r="M3" s="64"/>
      <c r="N3" s="64"/>
      <c r="O3" s="64"/>
      <c r="Q3" s="64"/>
      <c r="R3" s="16"/>
    </row>
    <row r="4" spans="1:20">
      <c r="A4" s="80" t="str">
        <f>INDEX(Inje,MATCH(Plannif!A27,Inje,0))</f>
        <v>Naturel MDD 7 à 9 %</v>
      </c>
      <c r="B4" s="65">
        <v>5</v>
      </c>
      <c r="C4" s="14">
        <f>Plannif!B27</f>
        <v>300</v>
      </c>
      <c r="D4" s="14">
        <f>INDEX(Cap,MATCH(Plannif!D27,Cap,0))</f>
        <v>180</v>
      </c>
      <c r="E4" s="14">
        <f t="shared" ref="E4:E16" si="2">B4*D4</f>
        <v>900</v>
      </c>
      <c r="F4" s="60">
        <f t="shared" si="0"/>
        <v>0.27777499999999999</v>
      </c>
      <c r="G4" s="60">
        <f t="shared" ref="G4:G16" si="3">G3+H4</f>
        <v>0.29166388888888889</v>
      </c>
      <c r="H4" s="60">
        <f t="shared" si="1"/>
        <v>1.3888888888888888E-2</v>
      </c>
      <c r="I4" s="88">
        <f>INDEX(Priorit,MATCH(Plannif!I27,Priorit,0))</f>
        <v>1</v>
      </c>
      <c r="J4" s="27"/>
      <c r="M4" s="27"/>
      <c r="N4" s="27"/>
      <c r="O4" s="41"/>
      <c r="Q4" s="41"/>
      <c r="R4" s="27"/>
      <c r="S4" s="39"/>
      <c r="T4" s="39"/>
    </row>
    <row r="5" spans="1:20">
      <c r="A5" s="80" t="str">
        <f>INDEX(Inje,MATCH(Plannif!A26,Inje,0))</f>
        <v>Naturel MDD 5,6 à 7%</v>
      </c>
      <c r="B5" s="65">
        <f>INDEX(Perso,MATCH(Plannif!C26,Perso,0))</f>
        <v>5</v>
      </c>
      <c r="C5" s="14">
        <f>Plannif!B26</f>
        <v>1500</v>
      </c>
      <c r="D5" s="14">
        <f>INDEX(Cap,MATCH(Plannif!D26,Cap,0))</f>
        <v>180</v>
      </c>
      <c r="E5" s="14">
        <f t="shared" si="2"/>
        <v>900</v>
      </c>
      <c r="F5" s="60">
        <f t="shared" si="0"/>
        <v>0.29166388888888894</v>
      </c>
      <c r="G5" s="60">
        <f t="shared" si="3"/>
        <v>0.36110833333333336</v>
      </c>
      <c r="H5" s="60">
        <f t="shared" si="1"/>
        <v>6.9444444444444448E-2</v>
      </c>
      <c r="I5" s="88">
        <f>INDEX(Priorit,MATCH(Plannif!I26,Priorit,0))</f>
        <v>2</v>
      </c>
      <c r="J5" s="27"/>
      <c r="M5" s="27"/>
      <c r="N5" s="27"/>
      <c r="O5" s="41"/>
      <c r="Q5" s="41"/>
      <c r="R5" s="27"/>
      <c r="S5" s="39"/>
      <c r="T5" s="39"/>
    </row>
    <row r="6" spans="1:20">
      <c r="A6" s="80" t="str">
        <f>INDEX(Inje,MATCH(Plannif!A21,Inje,0))</f>
        <v xml:space="preserve">Doux St Léo </v>
      </c>
      <c r="B6" s="65">
        <f>INDEX(Perso,MATCH(Plannif!C21,Perso,0))</f>
        <v>5</v>
      </c>
      <c r="C6" s="14">
        <f>Plannif!B21</f>
        <v>1500</v>
      </c>
      <c r="D6" s="14">
        <f>INDEX(Cap,MATCH(Plannif!D21,Cap,0))</f>
        <v>180</v>
      </c>
      <c r="E6" s="14">
        <f t="shared" si="2"/>
        <v>900</v>
      </c>
      <c r="F6" s="60">
        <f t="shared" si="0"/>
        <v>0.36110833333333336</v>
      </c>
      <c r="G6" s="60">
        <f t="shared" si="3"/>
        <v>0.43055277777777778</v>
      </c>
      <c r="H6" s="60">
        <f t="shared" si="1"/>
        <v>6.9444444444444448E-2</v>
      </c>
      <c r="I6" s="88">
        <f>INDEX(Priorit,MATCH(Plannif!I21,Priorit,0))</f>
        <v>3</v>
      </c>
      <c r="J6" s="27"/>
      <c r="M6" s="27"/>
      <c r="N6" s="27"/>
      <c r="O6" s="41"/>
      <c r="Q6" s="41"/>
      <c r="R6" s="27"/>
      <c r="S6" s="39"/>
      <c r="T6" s="39"/>
    </row>
    <row r="7" spans="1:20">
      <c r="A7" s="80" t="str">
        <f>INDEX(Inje,MATCH(Plannif!A22,Inje,0))</f>
        <v>Doux St Léo Auchan</v>
      </c>
      <c r="B7" s="65">
        <f>INDEX(Perso,MATCH(Plannif!C22,Perso,0))</f>
        <v>5</v>
      </c>
      <c r="C7" s="14">
        <f>Plannif!B22</f>
        <v>600</v>
      </c>
      <c r="D7" s="14">
        <f>INDEX(Cap,MATCH(Plannif!D22,Cap,0))</f>
        <v>180</v>
      </c>
      <c r="E7" s="14">
        <f t="shared" si="2"/>
        <v>900</v>
      </c>
      <c r="F7" s="60">
        <f t="shared" si="0"/>
        <v>0.43055277777777778</v>
      </c>
      <c r="G7" s="60">
        <f t="shared" si="3"/>
        <v>0.45833055555555557</v>
      </c>
      <c r="H7" s="60">
        <f t="shared" si="1"/>
        <v>2.7777777777777776E-2</v>
      </c>
      <c r="I7" s="88">
        <f>INDEX(Priorit,MATCH(Plannif!I22,Priorit,0))</f>
        <v>3</v>
      </c>
      <c r="J7" s="27"/>
      <c r="M7" s="27"/>
      <c r="N7" s="27"/>
      <c r="O7" s="41"/>
      <c r="Q7" s="41"/>
      <c r="R7" s="27"/>
      <c r="S7" s="39"/>
      <c r="T7" s="39"/>
    </row>
    <row r="8" spans="1:20">
      <c r="A8" s="80" t="str">
        <f>INDEX(Inje,MATCH(Plannif!A23,Inje,0))</f>
        <v>Doux St Léo MSC</v>
      </c>
      <c r="B8" s="65">
        <f>INDEX(Perso,MATCH(Plannif!C23,Perso,0))</f>
        <v>4</v>
      </c>
      <c r="C8" s="14">
        <f>Plannif!B23</f>
        <v>0</v>
      </c>
      <c r="D8" s="14">
        <f>INDEX(Cap,MATCH(Plannif!D23,Cap,0))</f>
        <v>180</v>
      </c>
      <c r="E8" s="14">
        <f t="shared" si="2"/>
        <v>720</v>
      </c>
      <c r="F8" s="60">
        <f t="shared" si="0"/>
        <v>0.45833055555555557</v>
      </c>
      <c r="G8" s="60">
        <f t="shared" si="3"/>
        <v>0.45833055555555557</v>
      </c>
      <c r="H8" s="60">
        <f t="shared" si="1"/>
        <v>0</v>
      </c>
      <c r="I8" s="88">
        <f>INDEX(Priorit,MATCH(Plannif!I23,Priorit,0))</f>
        <v>3</v>
      </c>
      <c r="J8" s="27"/>
      <c r="M8" s="27"/>
      <c r="N8" s="27"/>
      <c r="O8" s="41"/>
      <c r="Q8" s="41"/>
      <c r="R8" s="27"/>
      <c r="S8" s="39"/>
      <c r="T8" s="39"/>
    </row>
    <row r="9" spans="1:20">
      <c r="A9" s="80" t="str">
        <f>INDEX(Inje,MATCH(Plannif!A24,Inje,0))</f>
        <v>Naturel St Léo</v>
      </c>
      <c r="B9" s="65">
        <f>INDEX(Perso,MATCH(Plannif!C24,Perso,0))</f>
        <v>4</v>
      </c>
      <c r="C9" s="14">
        <f>Plannif!B24</f>
        <v>0</v>
      </c>
      <c r="D9" s="14">
        <f>INDEX(Cap,MATCH(Plannif!D24,Cap,0))</f>
        <v>180</v>
      </c>
      <c r="E9" s="14">
        <f t="shared" si="2"/>
        <v>720</v>
      </c>
      <c r="F9" s="60">
        <f t="shared" si="0"/>
        <v>0.45833055555555557</v>
      </c>
      <c r="G9" s="60">
        <f t="shared" si="3"/>
        <v>0.45833055555555557</v>
      </c>
      <c r="H9" s="60">
        <f t="shared" si="1"/>
        <v>0</v>
      </c>
      <c r="I9" s="88">
        <f>INDEX(Priorit,MATCH(Plannif!I24,Priorit,0))</f>
        <v>3</v>
      </c>
      <c r="J9" s="27"/>
      <c r="M9" s="27"/>
      <c r="N9" s="27"/>
      <c r="O9" s="41"/>
      <c r="Q9" s="41"/>
      <c r="R9" s="27"/>
      <c r="S9" s="39"/>
      <c r="T9" s="39"/>
    </row>
    <row r="10" spans="1:20">
      <c r="A10" s="80" t="str">
        <f>INDEX(Inje,MATCH(Plannif!A25,Inje,0))</f>
        <v>Naturel St Léo MSC</v>
      </c>
      <c r="B10" s="65">
        <f>INDEX(Perso,MATCH(Plannif!C25,Perso,0))</f>
        <v>5</v>
      </c>
      <c r="C10" s="14">
        <f>Plannif!B25</f>
        <v>0</v>
      </c>
      <c r="D10" s="14">
        <f>INDEX(Cap,MATCH(Plannif!D25,Cap,0))</f>
        <v>180</v>
      </c>
      <c r="E10" s="14">
        <f t="shared" si="2"/>
        <v>900</v>
      </c>
      <c r="F10" s="60">
        <f t="shared" si="0"/>
        <v>0.45833055555555557</v>
      </c>
      <c r="G10" s="60">
        <f t="shared" si="3"/>
        <v>0.45833055555555557</v>
      </c>
      <c r="H10" s="60">
        <f t="shared" si="1"/>
        <v>0</v>
      </c>
      <c r="I10" s="88">
        <f>INDEX(Priorit,MATCH(Plannif!I25,Priorit,0))</f>
        <v>3</v>
      </c>
      <c r="J10" s="27"/>
      <c r="M10" s="27"/>
      <c r="N10" s="27"/>
      <c r="O10" s="41"/>
      <c r="Q10" s="41"/>
      <c r="R10" s="27"/>
      <c r="S10" s="39"/>
      <c r="T10" s="39"/>
    </row>
    <row r="11" spans="1:20">
      <c r="A11" s="80" t="str">
        <f>INDEX(Inje,MATCH(Plannif!A17,Inje,0))</f>
        <v>Doux Delpierre</v>
      </c>
      <c r="B11" s="65">
        <f>INDEX(Perso,MATCH(Plannif!C17,Perso,0))</f>
        <v>5</v>
      </c>
      <c r="C11" s="14">
        <f>Plannif!B17</f>
        <v>4000</v>
      </c>
      <c r="D11" s="14">
        <f>INDEX(Cap,MATCH(Plannif!D17,Cap,0))</f>
        <v>180</v>
      </c>
      <c r="E11" s="14">
        <f t="shared" si="2"/>
        <v>900</v>
      </c>
      <c r="F11" s="60">
        <f t="shared" si="0"/>
        <v>0.45833055555555557</v>
      </c>
      <c r="G11" s="60">
        <f t="shared" si="3"/>
        <v>0.6435157407407408</v>
      </c>
      <c r="H11" s="60">
        <f t="shared" si="1"/>
        <v>0.1851851851851852</v>
      </c>
      <c r="I11" s="88">
        <f>INDEX(Priorit,MATCH(Plannif!I17,Priorit,0))</f>
        <v>4</v>
      </c>
      <c r="J11" s="27"/>
      <c r="M11" s="27"/>
      <c r="N11" s="27"/>
      <c r="O11" s="41"/>
      <c r="Q11" s="41"/>
      <c r="R11" s="27"/>
      <c r="S11" s="39"/>
      <c r="T11" s="39"/>
    </row>
    <row r="12" spans="1:20">
      <c r="A12" s="80" t="str">
        <f>INDEX(Inje,MATCH(Plannif!A18,Inje,0))</f>
        <v>Naturel Delpierre</v>
      </c>
      <c r="B12" s="65">
        <f>INDEX(Perso,MATCH(Plannif!C18,Perso,0))</f>
        <v>4</v>
      </c>
      <c r="C12" s="14">
        <f>Plannif!B18</f>
        <v>0</v>
      </c>
      <c r="D12" s="14">
        <f>INDEX(Cap,MATCH(Plannif!D18,Cap,0))</f>
        <v>180</v>
      </c>
      <c r="E12" s="14">
        <f t="shared" si="2"/>
        <v>720</v>
      </c>
      <c r="F12" s="60">
        <f t="shared" si="0"/>
        <v>0.6435157407407408</v>
      </c>
      <c r="G12" s="60">
        <f t="shared" si="3"/>
        <v>0.6435157407407408</v>
      </c>
      <c r="H12" s="60">
        <f t="shared" si="1"/>
        <v>0</v>
      </c>
      <c r="I12" s="88">
        <f>INDEX(Priorit,MATCH(Plannif!I18,Priorit,0))</f>
        <v>5</v>
      </c>
      <c r="J12" s="27"/>
      <c r="M12" s="27"/>
      <c r="N12" s="27"/>
      <c r="O12" s="41"/>
      <c r="Q12" s="41"/>
      <c r="R12" s="27"/>
      <c r="S12" s="39"/>
      <c r="T12" s="39"/>
    </row>
    <row r="13" spans="1:20">
      <c r="A13" s="80" t="str">
        <f>INDEX(Inje,MATCH(Plannif!A19,Inje,0))</f>
        <v>Doux MDD</v>
      </c>
      <c r="B13" s="65">
        <f>INDEX(Perso,MATCH(Plannif!C19,Perso,0))</f>
        <v>4</v>
      </c>
      <c r="C13" s="14">
        <f>Plannif!B19</f>
        <v>0</v>
      </c>
      <c r="D13" s="14">
        <f>INDEX(Cap,MATCH(Plannif!D19,Cap,0))</f>
        <v>180</v>
      </c>
      <c r="E13" s="14">
        <f t="shared" si="2"/>
        <v>720</v>
      </c>
      <c r="F13" s="60">
        <f t="shared" si="0"/>
        <v>0.6435157407407408</v>
      </c>
      <c r="G13" s="60">
        <f t="shared" si="3"/>
        <v>0.6435157407407408</v>
      </c>
      <c r="H13" s="60">
        <f t="shared" si="1"/>
        <v>0</v>
      </c>
      <c r="I13" s="88">
        <f>INDEX(Priorit,MATCH(Plannif!I19,Priorit,0))</f>
        <v>5</v>
      </c>
      <c r="J13" s="39"/>
      <c r="K13" s="64"/>
      <c r="L13" s="39"/>
      <c r="M13" s="39"/>
      <c r="N13" s="39"/>
      <c r="O13" s="39"/>
      <c r="Q13" s="39"/>
      <c r="R13" s="39"/>
      <c r="S13" s="39"/>
      <c r="T13" s="39"/>
    </row>
    <row r="14" spans="1:20">
      <c r="A14" s="80" t="str">
        <f>INDEX(Inje,MATCH(Plannif!A20,Inje,0))</f>
        <v>Doux Métro</v>
      </c>
      <c r="B14" s="65">
        <f>INDEX(Perso,MATCH(Plannif!C20,Perso,0))</f>
        <v>4</v>
      </c>
      <c r="C14" s="14">
        <f>Plannif!B20</f>
        <v>0</v>
      </c>
      <c r="D14" s="14">
        <f>INDEX(Cap,MATCH(Plannif!D20,Cap,0))</f>
        <v>140</v>
      </c>
      <c r="E14" s="14">
        <f t="shared" si="2"/>
        <v>560</v>
      </c>
      <c r="F14" s="60">
        <f t="shared" si="0"/>
        <v>0.6435157407407408</v>
      </c>
      <c r="G14" s="60">
        <f t="shared" si="3"/>
        <v>0.6435157407407408</v>
      </c>
      <c r="H14" s="60">
        <f t="shared" si="1"/>
        <v>0</v>
      </c>
      <c r="I14" s="88">
        <f>INDEX(Priorit,MATCH(Plannif!I20,Priorit,0))</f>
        <v>5</v>
      </c>
      <c r="J14" s="39"/>
      <c r="K14" s="39"/>
      <c r="L14" s="39"/>
      <c r="M14" s="39"/>
      <c r="N14" s="39"/>
      <c r="O14" s="39"/>
      <c r="Q14" s="39"/>
      <c r="R14" s="39"/>
      <c r="S14" s="39"/>
      <c r="T14" s="39"/>
    </row>
    <row r="15" spans="1:20">
      <c r="A15" s="80" t="str">
        <f>INDEX(Inje,MATCH(Plannif!A28,Inje,0))</f>
        <v>Allégés  en sel</v>
      </c>
      <c r="B15" s="65">
        <f>INDEX(Perso,MATCH(Plannif!C28,Perso,0))</f>
        <v>5</v>
      </c>
      <c r="C15" s="14">
        <f>Plannif!B28</f>
        <v>1600</v>
      </c>
      <c r="D15" s="14">
        <f>INDEX(Cap,MATCH(Plannif!D28,Cap,0))</f>
        <v>140</v>
      </c>
      <c r="E15" s="14">
        <f t="shared" si="2"/>
        <v>700</v>
      </c>
      <c r="F15" s="60">
        <f t="shared" si="0"/>
        <v>0.6435157407407408</v>
      </c>
      <c r="G15" s="60">
        <f t="shared" si="3"/>
        <v>0.73875383597883604</v>
      </c>
      <c r="H15" s="60">
        <f t="shared" si="1"/>
        <v>9.5238095238095233E-2</v>
      </c>
      <c r="I15" s="88">
        <f>INDEX(Priorit,MATCH(Plannif!I28,Priorit,0))</f>
        <v>6</v>
      </c>
      <c r="J15" s="39"/>
      <c r="K15" s="39"/>
      <c r="L15" s="39"/>
      <c r="M15" s="39"/>
      <c r="N15" s="39"/>
      <c r="O15" s="39"/>
      <c r="Q15" s="39"/>
      <c r="R15" s="39"/>
      <c r="S15" s="39"/>
      <c r="T15" s="39"/>
    </row>
    <row r="16" spans="1:20" ht="15.75" thickBot="1">
      <c r="A16" s="81" t="str">
        <f>INDEX(Inje,MATCH(Plannif!A29,Inje,0))</f>
        <v>Export</v>
      </c>
      <c r="B16" s="86">
        <f>INDEX(Perso,MATCH(Plannif!C29,Perso,0))</f>
        <v>5</v>
      </c>
      <c r="C16" s="82">
        <f>Plannif!B29</f>
        <v>1000</v>
      </c>
      <c r="D16" s="82">
        <f>INDEX(Cap,MATCH(Plannif!D29,Cap,0))</f>
        <v>140</v>
      </c>
      <c r="E16" s="82">
        <f t="shared" si="2"/>
        <v>700</v>
      </c>
      <c r="F16" s="104">
        <f t="shared" si="0"/>
        <v>0.73875383597883604</v>
      </c>
      <c r="G16" s="104">
        <f t="shared" si="3"/>
        <v>0.79827764550264557</v>
      </c>
      <c r="H16" s="104">
        <f t="shared" si="1"/>
        <v>5.9523809523809527E-2</v>
      </c>
      <c r="I16" s="89">
        <f>INDEX(Priorit,MATCH(Plannif!I29,Priorit,0))</f>
        <v>7</v>
      </c>
      <c r="J16" s="39"/>
      <c r="K16" s="39"/>
      <c r="L16" s="39"/>
      <c r="M16" s="39"/>
      <c r="N16" s="39"/>
      <c r="O16" s="39"/>
      <c r="Q16" s="39"/>
      <c r="R16" s="39"/>
      <c r="S16" s="39"/>
      <c r="T16" s="39"/>
    </row>
    <row r="17" spans="1:20">
      <c r="A17" s="90" t="str">
        <f>'Inj1'!A3</f>
        <v>Urgence</v>
      </c>
      <c r="B17" s="91" t="str">
        <f>'Inj2'!B3</f>
        <v>5 personnes</v>
      </c>
      <c r="C17" s="91">
        <f>'Inj1'!C3</f>
        <v>0</v>
      </c>
      <c r="D17" s="91">
        <v>180</v>
      </c>
      <c r="E17" s="94">
        <v>900</v>
      </c>
      <c r="F17" s="91"/>
      <c r="G17" s="91"/>
      <c r="H17" s="92">
        <f>'Inj1'!H3</f>
        <v>0</v>
      </c>
      <c r="I17" s="93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>
      <c r="A18" s="80" t="str">
        <f>'Inj1'!A4</f>
        <v>Doux St Léo MSC</v>
      </c>
      <c r="B18" s="85">
        <f>'Inj2'!B4</f>
        <v>5</v>
      </c>
      <c r="C18" s="14">
        <f>'Inj1'!C4</f>
        <v>250</v>
      </c>
      <c r="D18" s="14">
        <f>'Inj1'!D4</f>
        <v>180</v>
      </c>
      <c r="E18" s="95">
        <f>B18*D18</f>
        <v>900</v>
      </c>
      <c r="F18" s="14"/>
      <c r="G18" s="14"/>
      <c r="H18" s="77">
        <f>C18/E18/24</f>
        <v>1.1574074074074075E-2</v>
      </c>
      <c r="I18" s="8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1:20">
      <c r="A19" s="80" t="str">
        <f>'Inj1'!A5</f>
        <v xml:space="preserve">Doux St Léo </v>
      </c>
      <c r="B19" s="65">
        <f>'Inj2'!B5</f>
        <v>5</v>
      </c>
      <c r="C19" s="14">
        <f>'Inj1'!C5</f>
        <v>0</v>
      </c>
      <c r="D19" s="14">
        <f>'Inj1'!D5</f>
        <v>180</v>
      </c>
      <c r="E19" s="95">
        <f t="shared" ref="E19:E26" si="4">B19*D19</f>
        <v>900</v>
      </c>
      <c r="F19" s="14"/>
      <c r="G19" s="14"/>
      <c r="H19" s="77">
        <f t="shared" ref="H19:H26" si="5">C19/E19/24</f>
        <v>0</v>
      </c>
      <c r="I19" s="88"/>
    </row>
    <row r="20" spans="1:20">
      <c r="A20" s="80" t="str">
        <f>'Inj1'!A6</f>
        <v>Doux St Léo Auchan</v>
      </c>
      <c r="B20" s="65">
        <f>'Inj2'!B6</f>
        <v>5</v>
      </c>
      <c r="C20" s="14">
        <f>'Inj1'!C6</f>
        <v>0</v>
      </c>
      <c r="D20" s="14">
        <f>'Inj1'!D6</f>
        <v>180</v>
      </c>
      <c r="E20" s="95">
        <f t="shared" si="4"/>
        <v>900</v>
      </c>
      <c r="F20" s="14"/>
      <c r="G20" s="14"/>
      <c r="H20" s="77">
        <f t="shared" si="5"/>
        <v>0</v>
      </c>
      <c r="I20" s="88"/>
    </row>
    <row r="21" spans="1:20">
      <c r="A21" s="80" t="str">
        <f>'Inj1'!A7</f>
        <v>Naturel St Léo MSC</v>
      </c>
      <c r="B21" s="65">
        <f>'Inj2'!B7</f>
        <v>5</v>
      </c>
      <c r="C21" s="14">
        <f>'Inj1'!C7</f>
        <v>250.00000000000415</v>
      </c>
      <c r="D21" s="14">
        <f>'Inj1'!D7</f>
        <v>180</v>
      </c>
      <c r="E21" s="95">
        <f t="shared" si="4"/>
        <v>900</v>
      </c>
      <c r="F21" s="14"/>
      <c r="G21" s="14"/>
      <c r="H21" s="77">
        <f t="shared" si="5"/>
        <v>1.1574074074074266E-2</v>
      </c>
      <c r="I21" s="88"/>
    </row>
    <row r="22" spans="1:20">
      <c r="A22" s="80" t="str">
        <f>'Inj1'!A8</f>
        <v>Naturel St Léo</v>
      </c>
      <c r="B22" s="65">
        <f>'Inj2'!B8</f>
        <v>4</v>
      </c>
      <c r="C22" s="14">
        <f>'Inj1'!C8</f>
        <v>450</v>
      </c>
      <c r="D22" s="14">
        <f>'Inj1'!D8</f>
        <v>180</v>
      </c>
      <c r="E22" s="95">
        <f t="shared" si="4"/>
        <v>720</v>
      </c>
      <c r="F22" s="14"/>
      <c r="G22" s="14"/>
      <c r="H22" s="77">
        <f t="shared" si="5"/>
        <v>2.6041666666666668E-2</v>
      </c>
      <c r="I22" s="88"/>
    </row>
    <row r="23" spans="1:20">
      <c r="A23" s="80" t="str">
        <f>'Inj1'!A9</f>
        <v>Doux Delpierre</v>
      </c>
      <c r="B23" s="65">
        <f>'Inj2'!B9</f>
        <v>4</v>
      </c>
      <c r="C23" s="14">
        <f>'Inj1'!C9</f>
        <v>2500</v>
      </c>
      <c r="D23" s="14">
        <f>'Inj1'!D9</f>
        <v>180</v>
      </c>
      <c r="E23" s="95">
        <f t="shared" si="4"/>
        <v>720</v>
      </c>
      <c r="F23" s="14"/>
      <c r="G23" s="14"/>
      <c r="H23" s="77">
        <f t="shared" si="5"/>
        <v>0.14467592592592593</v>
      </c>
      <c r="I23" s="88"/>
    </row>
    <row r="24" spans="1:20">
      <c r="A24" s="80" t="str">
        <f>'Inj1'!A10</f>
        <v>Naturel Delpierre</v>
      </c>
      <c r="B24" s="65">
        <f>'Inj2'!B10</f>
        <v>5</v>
      </c>
      <c r="C24" s="14">
        <f>'Inj1'!C10</f>
        <v>500</v>
      </c>
      <c r="D24" s="14">
        <f>'Inj1'!D10</f>
        <v>180</v>
      </c>
      <c r="E24" s="95">
        <f t="shared" si="4"/>
        <v>900</v>
      </c>
      <c r="F24" s="14"/>
      <c r="G24" s="14"/>
      <c r="H24" s="77">
        <f t="shared" si="5"/>
        <v>2.314814814814815E-2</v>
      </c>
      <c r="I24" s="88"/>
    </row>
    <row r="25" spans="1:20">
      <c r="A25" s="80" t="str">
        <f>'Inj1'!A11</f>
        <v>Doux MDD</v>
      </c>
      <c r="B25" s="84">
        <f>'Inj2'!B11</f>
        <v>5</v>
      </c>
      <c r="C25" s="14">
        <f>'Inj1'!C11</f>
        <v>7500</v>
      </c>
      <c r="D25" s="14">
        <f>'Inj1'!D11</f>
        <v>180</v>
      </c>
      <c r="E25" s="95">
        <f t="shared" si="4"/>
        <v>900</v>
      </c>
      <c r="F25" s="14"/>
      <c r="G25" s="14"/>
      <c r="H25" s="77">
        <f t="shared" si="5"/>
        <v>0.34722222222222227</v>
      </c>
      <c r="I25" s="88"/>
    </row>
    <row r="26" spans="1:20" ht="15.75" thickBot="1">
      <c r="A26" s="81" t="str">
        <f>'Inj1'!A12</f>
        <v>Doux Métro</v>
      </c>
      <c r="B26" s="86">
        <f>'Inj2'!B12</f>
        <v>4</v>
      </c>
      <c r="C26" s="82">
        <f>'Inj1'!C12</f>
        <v>0</v>
      </c>
      <c r="D26" s="82">
        <f>'Inj1'!D12</f>
        <v>180</v>
      </c>
      <c r="E26" s="96">
        <f t="shared" si="4"/>
        <v>720</v>
      </c>
      <c r="F26" s="82"/>
      <c r="G26" s="82"/>
      <c r="H26" s="83">
        <f t="shared" si="5"/>
        <v>0</v>
      </c>
      <c r="I26" s="89"/>
    </row>
  </sheetData>
  <autoFilter ref="A2:I26">
    <filterColumn colId="2"/>
    <sortState ref="A3:I16">
      <sortCondition ref="I2:I16"/>
    </sortState>
  </autoFilter>
  <mergeCells count="2">
    <mergeCell ref="A1:I1"/>
    <mergeCell ref="J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5" baseType="lpstr">
      <vt:lpstr>Plannif</vt:lpstr>
      <vt:lpstr>Inj1</vt:lpstr>
      <vt:lpstr>Inj2</vt:lpstr>
      <vt:lpstr>Graph1</vt:lpstr>
      <vt:lpstr>Cap</vt:lpstr>
      <vt:lpstr>Champs</vt:lpstr>
      <vt:lpstr>ChampsInj</vt:lpstr>
      <vt:lpstr>Inj</vt:lpstr>
      <vt:lpstr>Inje</vt:lpstr>
      <vt:lpstr>Per</vt:lpstr>
      <vt:lpstr>Perso</vt:lpstr>
      <vt:lpstr>Priori</vt:lpstr>
      <vt:lpstr>Priorit</vt:lpstr>
      <vt:lpstr>Vol</vt:lpstr>
      <vt:lpstr>Volu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paul.lethuillier</dc:creator>
  <cp:lastModifiedBy>paul.lethuillier</cp:lastModifiedBy>
  <dcterms:created xsi:type="dcterms:W3CDTF">2015-10-29T09:14:09Z</dcterms:created>
  <dcterms:modified xsi:type="dcterms:W3CDTF">2015-11-02T11:28:32Z</dcterms:modified>
</cp:coreProperties>
</file>